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drawings/drawing7.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65" windowWidth="20760" windowHeight="10485" tabRatio="956"/>
  </bookViews>
  <sheets>
    <sheet name="Présentation" sheetId="2" r:id="rId1"/>
    <sheet name="IDENTITE" sheetId="3" r:id="rId2"/>
    <sheet name="METHODOLOGIE" sheetId="20" r:id="rId3"/>
    <sheet name="BD_METHODOLOGIE" sheetId="19" r:id="rId4"/>
    <sheet name="BATI-EQUIPEMENTS" sheetId="11" r:id="rId5"/>
    <sheet name="BD_BATI-EQUIPEMENTS" sheetId="13" r:id="rId6"/>
    <sheet name="ATTRACTIVITE" sheetId="9" r:id="rId7"/>
    <sheet name="ENERGIE" sheetId="18" r:id="rId8"/>
    <sheet name="RESULTATS" sheetId="14" r:id="rId9"/>
    <sheet name="GRAPHIQUES-A3" sheetId="16" r:id="rId10"/>
    <sheet name="GRAPH-1-A4" sheetId="23" r:id="rId11"/>
    <sheet name="GRAPH-2-A4" sheetId="24" r:id="rId12"/>
    <sheet name="HYPOTHESES" sheetId="8" r:id="rId13"/>
    <sheet name="ACTUALISATION" sheetId="6" r:id="rId14"/>
    <sheet name="EMPRUNT" sheetId="22" r:id="rId15"/>
  </sheets>
  <definedNames>
    <definedName name="actu_loyer">IDENTITE!$C$46</definedName>
    <definedName name="amortissement">IDENTITE!$C$40</definedName>
    <definedName name="COUT_EMPRUNT">EMPRUNT!$C$13</definedName>
    <definedName name="date_projet">IDENTITE!$C$4</definedName>
    <definedName name="DUREE_EMPRUNT">IDENTITE!$C$50</definedName>
    <definedName name="Hypothese_Energie">HYPOTHESES!$B$8:$G$14</definedName>
    <definedName name="Icc">IDENTITE!$C$44</definedName>
    <definedName name="_xlnm.Print_Titles" localSheetId="4">'BATI-EQUIPEMENTS'!$B:$F</definedName>
    <definedName name="_xlnm.Print_Titles" localSheetId="5">'BD_BATI-EQUIPEMENTS'!$12:$12</definedName>
    <definedName name="_xlnm.Print_Titles" localSheetId="3">BD_METHODOLOGIE!$10:$10</definedName>
    <definedName name="_xlnm.Print_Titles" localSheetId="7">ENERGIE!$B:$J,ENERGIE!$5:$5</definedName>
    <definedName name="Inflation">IDENTITE!$C$42</definedName>
    <definedName name="Investissement">IDENTITE!$C$12</definedName>
    <definedName name="Lst_AMO">BD_METHODOLOGIE!$B$37:$B$40</definedName>
    <definedName name="Lst_Chauffage">'BD_BATI-EQUIPEMENTS'!$B$83:$B$91</definedName>
    <definedName name="Lst_CompMOE">BD_METHODOLOGIE!$B$67:$B$69</definedName>
    <definedName name="Lst_Dechets">BD_METHODOLOGIE!$B$92:$B$95</definedName>
    <definedName name="Lst_DossCons">BD_METHODOLOGIE!$B$55:$B$58</definedName>
    <definedName name="Lst_ECS">'BD_BATI-EQUIPEMENTS'!$B$107:$B$117</definedName>
    <definedName name="Lst_Emission">'BD_BATI-EQUIPEMENTS'!$B$95:$B$96</definedName>
    <definedName name="Lst_Encadrement">BD_METHODOLOGIE!$B$99:$B$101</definedName>
    <definedName name="lst_énergie">HYPOTHESES!$B$9:$B$15</definedName>
    <definedName name="Lst_Entrep">BD_METHODOLOGIE!$B$73:$B$75</definedName>
    <definedName name="Lst_Etancheite">BD_METHODOLOGIE!$B$78:$B$82</definedName>
    <definedName name="Lst_EtudeCompl">BD_METHODOLOGIE!$B$62:$B$64</definedName>
    <definedName name="Lst_LabelEnv">BD_METHODOLOGIE!$B$25:$B$28</definedName>
    <definedName name="Lst_Menuiserie">'BD_BATI-EQUIPEMENTS'!$B$36:$B$43</definedName>
    <definedName name="Lst_MissAMO">BD_METHODOLOGIE!$B$43:$B$47</definedName>
    <definedName name="Lst_MobServ">BD_METHODOLOGIE!$B$31:$B$34</definedName>
    <definedName name="Lst_MurExt">'BD_BATI-EQUIPEMENTS'!$B$28:$B$31</definedName>
    <definedName name="Lst_Occultation">'BD_BATI-EQUIPEMENTS'!$B$55:$B$61</definedName>
    <definedName name="Lst_Origine">BD_METHODOLOGIE!$B$14:$B$21</definedName>
    <definedName name="Lst_Ouvrant">'BD_BATI-EQUIPEMENTS'!$B$48:$B$50</definedName>
    <definedName name="Lst_PtsCri">BD_METHODOLOGIE!$B$50:$B$52</definedName>
    <definedName name="Lst_Realisation">BD_METHODOLOGIE!$B$104:$B$107</definedName>
    <definedName name="Lst_Regulation">BD_METHODOLOGIE!$B$119:$B$122</definedName>
    <definedName name="Lst_RevSol">'BD_BATI-EQUIPEMENTS'!$B$21:$B$24</definedName>
    <definedName name="Lst_SuiviConso">BD_METHODOLOGIE!$B$111:$B$116</definedName>
    <definedName name="Lst_Systech">BD_METHODOLOGIE!$B$132:$B$135</definedName>
    <definedName name="Lst_TechPbas">'BD_BATI-EQUIPEMENTS'!$B$14:$B$19</definedName>
    <definedName name="Lst_Thermo">BD_METHODOLOGIE!$B$85:$B$89</definedName>
    <definedName name="Lst_Toit_Etancheite">'BD_BATI-EQUIPEMENTS'!$B$79:$B$79</definedName>
    <definedName name="Lst_Toiture">'BD_BATI-EQUIPEMENTS'!$B$66:$B$78</definedName>
    <definedName name="Lst_TypeRegulation">'BD_BATI-EQUIPEMENTS'!$B$99:$B$103</definedName>
    <definedName name="Lst_TypeVT">'BD_BATI-EQUIPEMENTS'!$B$123:$B$128</definedName>
    <definedName name="Lst_Ventilation">BD_METHODOLOGIE!$B$125:$B$129</definedName>
    <definedName name="MONTANT_EMPRUNT">IDENTITE!$C$48</definedName>
    <definedName name="Nb_Global">IDENTITE!$C$16</definedName>
    <definedName name="NB_Logement">IDENTITE!$I$16</definedName>
    <definedName name="Nb_T1">IDENTITE!$D$16</definedName>
    <definedName name="Nb_T2">IDENTITE!$E$16</definedName>
    <definedName name="Nb_T3">IDENTITE!$F$16</definedName>
    <definedName name="Nb_T4">IDENTITE!$G$16</definedName>
    <definedName name="Nb_T5">IDENTITE!$H$16</definedName>
    <definedName name="nom_projet">IDENTITE!$C$2</definedName>
    <definedName name="nom_utilisateur">IDENTITE!$C$5</definedName>
    <definedName name="phase_projet">IDENTITE!$C$3</definedName>
    <definedName name="Prix_abonnement_collectif">HYPOTHESES!$B$19:$C$34</definedName>
    <definedName name="Prix_abonnement_individuel">HYPOTHESES!$B$38:$C$65</definedName>
    <definedName name="ref_energie">ACTUALISATION!$G$17:$M$76</definedName>
    <definedName name="réf_énergie">HYPOTHESES!$B$9:$G$15</definedName>
    <definedName name="SHAB">IDENTITE!$I$18</definedName>
    <definedName name="Surf_Global">IDENTITE!$C$17</definedName>
    <definedName name="Surf_Men">IDENTITE!$C$34</definedName>
    <definedName name="Surf_Mur">IDENTITE!$C$31</definedName>
    <definedName name="Surf_Pbas">IDENTITE!$C$30</definedName>
    <definedName name="Surf_Phaut">IDENTITE!$C$35</definedName>
    <definedName name="Surf_T1">IDENTITE!$D$17</definedName>
    <definedName name="Surf_T2">IDENTITE!$E$17</definedName>
    <definedName name="Surf_T3">IDENTITE!$F$17</definedName>
    <definedName name="Surf_T4">IDENTITE!$G$17</definedName>
    <definedName name="Surf_T5">IDENTITE!$H$17</definedName>
    <definedName name="Surf_totale_T1">IDENTITE!$D$18</definedName>
    <definedName name="Surf_totale_T2">IDENTITE!$E$18</definedName>
    <definedName name="Surf_totale_T3">IDENTITE!$F$18</definedName>
    <definedName name="Surf_totale_T4">IDENTITE!$G$18</definedName>
    <definedName name="Surf_totale_T5">IDENTITE!$H$18</definedName>
    <definedName name="tx_emprunt">IDENTITE!$C$49</definedName>
    <definedName name="_xlnm.Print_Area" localSheetId="4">'BATI-EQUIPEMENTS'!$A$1:$R$38</definedName>
    <definedName name="_xlnm.Print_Area" localSheetId="14">EMPRUNT!$A$1:$F$36</definedName>
    <definedName name="_xlnm.Print_Area" localSheetId="0">Présentation!$A$1:$F$49</definedName>
  </definedNames>
  <calcPr calcId="145621"/>
</workbook>
</file>

<file path=xl/calcChain.xml><?xml version="1.0" encoding="utf-8"?>
<calcChain xmlns="http://schemas.openxmlformats.org/spreadsheetml/2006/main">
  <c r="L23" i="18" l="1"/>
  <c r="P35" i="18"/>
  <c r="N24" i="18" s="1"/>
  <c r="O35" i="18"/>
  <c r="N35" i="18"/>
  <c r="P34" i="18"/>
  <c r="N23" i="18" s="1"/>
  <c r="O34" i="18"/>
  <c r="N34" i="18"/>
  <c r="X36" i="18"/>
  <c r="V25" i="18" s="1"/>
  <c r="W36" i="18"/>
  <c r="V36" i="18"/>
  <c r="P36" i="18"/>
  <c r="N25" i="18" s="1"/>
  <c r="O36" i="18"/>
  <c r="M25" i="18" s="1"/>
  <c r="N36" i="18"/>
  <c r="D71" i="14" l="1"/>
  <c r="E71" i="14" s="1"/>
  <c r="E66" i="14"/>
  <c r="E65" i="14"/>
  <c r="D66" i="14"/>
  <c r="D65" i="14"/>
  <c r="C23" i="18"/>
  <c r="D23" i="18" s="1"/>
  <c r="G36" i="9"/>
  <c r="E35" i="9"/>
  <c r="G35" i="9" s="1"/>
  <c r="E34" i="9"/>
  <c r="G34" i="9" s="1"/>
  <c r="G33" i="9"/>
  <c r="J24" i="20"/>
  <c r="F44" i="20"/>
  <c r="F43" i="20"/>
  <c r="F42" i="20"/>
  <c r="F41" i="20"/>
  <c r="F38" i="20"/>
  <c r="F37" i="20"/>
  <c r="F34" i="20"/>
  <c r="F33" i="20"/>
  <c r="F32" i="20"/>
  <c r="F31" i="20"/>
  <c r="F28" i="20"/>
  <c r="F27" i="20"/>
  <c r="F24" i="20"/>
  <c r="F23" i="20"/>
  <c r="F22" i="20"/>
  <c r="G43" i="20"/>
  <c r="J43" i="20" s="1"/>
  <c r="G38" i="20"/>
  <c r="J38" i="20" s="1"/>
  <c r="G32" i="20"/>
  <c r="J32" i="20" s="1"/>
  <c r="G24" i="20"/>
  <c r="G23" i="20"/>
  <c r="J23" i="20" s="1"/>
  <c r="G22" i="20"/>
  <c r="J22" i="20" s="1"/>
  <c r="G19" i="20" l="1"/>
  <c r="J19" i="20" s="1"/>
  <c r="F21" i="20"/>
  <c r="F20" i="20"/>
  <c r="F19" i="20"/>
  <c r="F16" i="20"/>
  <c r="K50" i="18" l="1"/>
  <c r="S50" i="18"/>
  <c r="K49" i="18"/>
  <c r="S49" i="18" s="1"/>
  <c r="K48" i="18"/>
  <c r="S48" i="18"/>
  <c r="K47" i="18"/>
  <c r="V43" i="18"/>
  <c r="N44" i="18"/>
  <c r="V44" i="18" s="1"/>
  <c r="N43" i="18"/>
  <c r="N42" i="18"/>
  <c r="V42" i="18" s="1"/>
  <c r="N41" i="18"/>
  <c r="V41" i="18" s="1"/>
  <c r="S43" i="18"/>
  <c r="S42" i="18"/>
  <c r="K44" i="18"/>
  <c r="S44" i="18" s="1"/>
  <c r="K43" i="18"/>
  <c r="K42" i="18"/>
  <c r="K41" i="18"/>
  <c r="S41" i="18" s="1"/>
  <c r="U36" i="18"/>
  <c r="M37" i="18"/>
  <c r="U37" i="18" s="1"/>
  <c r="M36" i="18"/>
  <c r="K36" i="18"/>
  <c r="S36" i="18" s="1"/>
  <c r="M35" i="18"/>
  <c r="U35" i="18" s="1"/>
  <c r="M34" i="18"/>
  <c r="U34" i="18" s="1"/>
  <c r="K19" i="18"/>
  <c r="S19" i="18" s="1"/>
  <c r="U16" i="18"/>
  <c r="U15" i="18"/>
  <c r="U14" i="18"/>
  <c r="U13" i="18"/>
  <c r="U12" i="18"/>
  <c r="U11" i="18"/>
  <c r="U10" i="18"/>
  <c r="S12" i="18"/>
  <c r="S11" i="18"/>
  <c r="S10" i="18"/>
  <c r="M16" i="18"/>
  <c r="M15" i="18"/>
  <c r="M14" i="18"/>
  <c r="M13" i="18"/>
  <c r="M12" i="18"/>
  <c r="M11" i="18"/>
  <c r="M10" i="18"/>
  <c r="T16" i="18"/>
  <c r="T15" i="18"/>
  <c r="T14" i="18"/>
  <c r="T13" i="18"/>
  <c r="T12" i="18"/>
  <c r="T11" i="18"/>
  <c r="T10" i="18"/>
  <c r="K12" i="18"/>
  <c r="K11" i="18"/>
  <c r="K10" i="18"/>
  <c r="S21" i="18"/>
  <c r="K21" i="18"/>
  <c r="G9" i="11"/>
  <c r="M9" i="11" s="1"/>
  <c r="G8" i="11"/>
  <c r="M8" i="11" s="1"/>
  <c r="C6" i="19"/>
  <c r="E12" i="19"/>
  <c r="S47" i="18" l="1"/>
  <c r="G35" i="11"/>
  <c r="M35" i="11" s="1"/>
  <c r="G29" i="11"/>
  <c r="M29" i="11" s="1"/>
  <c r="G28" i="11"/>
  <c r="M28" i="11" s="1"/>
  <c r="G16" i="11"/>
  <c r="M16" i="11" s="1"/>
  <c r="G19" i="11"/>
  <c r="M19" i="11" s="1"/>
  <c r="M66" i="13"/>
  <c r="M67" i="13"/>
  <c r="J66" i="13"/>
  <c r="K66" i="13"/>
  <c r="J67" i="13"/>
  <c r="K67" i="13"/>
  <c r="I72" i="13"/>
  <c r="L72" i="13" s="1"/>
  <c r="I73" i="13"/>
  <c r="I74" i="13"/>
  <c r="I75" i="13"/>
  <c r="I76" i="13"/>
  <c r="I77" i="13"/>
  <c r="I78" i="13"/>
  <c r="I67" i="13"/>
  <c r="L79" i="13"/>
  <c r="V34" i="18"/>
  <c r="L108" i="13"/>
  <c r="L109" i="13"/>
  <c r="M108" i="13"/>
  <c r="K108" i="13"/>
  <c r="J108" i="13"/>
  <c r="I108" i="13"/>
  <c r="S46" i="18"/>
  <c r="S40" i="18"/>
  <c r="J83" i="13"/>
  <c r="J27" i="11" l="1"/>
  <c r="I10" i="13"/>
  <c r="H10" i="13"/>
  <c r="G10" i="13"/>
  <c r="F10" i="13"/>
  <c r="E10" i="13"/>
  <c r="D10" i="13"/>
  <c r="C10" i="13"/>
  <c r="B10" i="13"/>
  <c r="C8" i="13"/>
  <c r="C5" i="13"/>
  <c r="H69" i="13" l="1"/>
  <c r="I69" i="13" s="1"/>
  <c r="H70" i="13"/>
  <c r="I70" i="13" s="1"/>
  <c r="H71" i="13"/>
  <c r="H68" i="13"/>
  <c r="I68" i="13" s="1"/>
  <c r="H77" i="13"/>
  <c r="H78" i="13"/>
  <c r="H74" i="13"/>
  <c r="H75" i="13"/>
  <c r="H76" i="13"/>
  <c r="H73" i="13"/>
  <c r="N26" i="11"/>
  <c r="E22" i="11"/>
  <c r="I71" i="13"/>
  <c r="I66" i="13"/>
  <c r="G14" i="6" l="1"/>
  <c r="H8" i="6"/>
  <c r="H17" i="6" s="1"/>
  <c r="H18" i="6" s="1"/>
  <c r="I8" i="6"/>
  <c r="I17" i="6" s="1"/>
  <c r="J8" i="6"/>
  <c r="K8" i="6"/>
  <c r="K17" i="6" s="1"/>
  <c r="L8" i="6"/>
  <c r="L17" i="6" s="1"/>
  <c r="L18" i="6" s="1"/>
  <c r="M8" i="6"/>
  <c r="M17" i="6" s="1"/>
  <c r="N8" i="6"/>
  <c r="N17" i="6" s="1"/>
  <c r="G19" i="6"/>
  <c r="T62" i="18"/>
  <c r="S62" i="18"/>
  <c r="L62" i="18"/>
  <c r="K62" i="18"/>
  <c r="B63" i="18"/>
  <c r="M50" i="18"/>
  <c r="M49" i="18"/>
  <c r="M48" i="18"/>
  <c r="E48" i="18"/>
  <c r="E49" i="18"/>
  <c r="E50" i="18"/>
  <c r="E47" i="18"/>
  <c r="U48" i="18"/>
  <c r="M44" i="18"/>
  <c r="M42" i="18"/>
  <c r="U49" i="18"/>
  <c r="U43" i="18"/>
  <c r="E43" i="18"/>
  <c r="H23" i="9"/>
  <c r="G23" i="9"/>
  <c r="I23" i="9" s="1"/>
  <c r="F23" i="9"/>
  <c r="E23" i="9"/>
  <c r="I28" i="9"/>
  <c r="H28" i="9"/>
  <c r="G28" i="9"/>
  <c r="F28" i="9"/>
  <c r="E28" i="9"/>
  <c r="B14" i="6"/>
  <c r="B13" i="9"/>
  <c r="C26" i="14"/>
  <c r="B26" i="14"/>
  <c r="C25" i="14"/>
  <c r="B25" i="14"/>
  <c r="C9" i="22"/>
  <c r="C672" i="22" s="1"/>
  <c r="C7" i="22"/>
  <c r="C8" i="22"/>
  <c r="E44" i="18"/>
  <c r="E42" i="18"/>
  <c r="E41" i="18"/>
  <c r="C27" i="8"/>
  <c r="C28" i="8"/>
  <c r="C29" i="8"/>
  <c r="C30" i="8"/>
  <c r="C31" i="8"/>
  <c r="D729" i="22" l="1"/>
  <c r="D676" i="22"/>
  <c r="C716" i="22"/>
  <c r="C708" i="22"/>
  <c r="K22" i="11"/>
  <c r="I22" i="11"/>
  <c r="H22" i="11"/>
  <c r="D723" i="22"/>
  <c r="D688" i="22"/>
  <c r="C700" i="22"/>
  <c r="D734" i="22"/>
  <c r="D728" i="22"/>
  <c r="D721" i="22"/>
  <c r="D713" i="22"/>
  <c r="D707" i="22"/>
  <c r="D696" i="22"/>
  <c r="D684" i="22"/>
  <c r="C676" i="22"/>
  <c r="C734" i="22"/>
  <c r="D726" i="22"/>
  <c r="D718" i="22"/>
  <c r="D712" i="22"/>
  <c r="D704" i="22"/>
  <c r="D692" i="22"/>
  <c r="C684" i="22"/>
  <c r="D672" i="22"/>
  <c r="C732" i="22"/>
  <c r="C724" i="22"/>
  <c r="C718" i="22"/>
  <c r="D710" i="22"/>
  <c r="D700" i="22"/>
  <c r="C692" i="22"/>
  <c r="D680" i="22"/>
  <c r="N18" i="6"/>
  <c r="N19" i="6" s="1"/>
  <c r="H19" i="6"/>
  <c r="G20" i="6"/>
  <c r="J17" i="6"/>
  <c r="J18" i="6" s="1"/>
  <c r="J19" i="6" s="1"/>
  <c r="K18" i="6"/>
  <c r="K19" i="6" s="1"/>
  <c r="L19" i="6"/>
  <c r="M18" i="6"/>
  <c r="M19" i="6" s="1"/>
  <c r="I18" i="6"/>
  <c r="I19" i="6" s="1"/>
  <c r="M43" i="18"/>
  <c r="E45" i="18"/>
  <c r="U50" i="18"/>
  <c r="C10" i="22"/>
  <c r="D731" i="22"/>
  <c r="C726" i="22"/>
  <c r="D720" i="22"/>
  <c r="D715" i="22"/>
  <c r="C710" i="22"/>
  <c r="C704" i="22"/>
  <c r="C696" i="22"/>
  <c r="C688" i="22"/>
  <c r="C680" i="22"/>
  <c r="C16" i="22"/>
  <c r="C196" i="22"/>
  <c r="C198" i="22"/>
  <c r="C200" i="22"/>
  <c r="C202" i="22"/>
  <c r="C204" i="22"/>
  <c r="C206" i="22"/>
  <c r="C208" i="22"/>
  <c r="C210" i="22"/>
  <c r="C212" i="22"/>
  <c r="C214" i="22"/>
  <c r="C216" i="22"/>
  <c r="C218" i="22"/>
  <c r="C220" i="22"/>
  <c r="C222" i="22"/>
  <c r="C224" i="22"/>
  <c r="C226" i="22"/>
  <c r="C228" i="22"/>
  <c r="C230" i="22"/>
  <c r="C232" i="22"/>
  <c r="C234" i="22"/>
  <c r="C236" i="22"/>
  <c r="C238" i="22"/>
  <c r="C240" i="22"/>
  <c r="C242" i="22"/>
  <c r="C244" i="22"/>
  <c r="C246" i="22"/>
  <c r="C248" i="22"/>
  <c r="C250" i="22"/>
  <c r="C252" i="22"/>
  <c r="C254" i="22"/>
  <c r="C256" i="22"/>
  <c r="C258" i="22"/>
  <c r="C260" i="22"/>
  <c r="C262" i="22"/>
  <c r="C264" i="22"/>
  <c r="C266" i="22"/>
  <c r="C268" i="22"/>
  <c r="C270" i="22"/>
  <c r="C272" i="22"/>
  <c r="C274" i="22"/>
  <c r="C276" i="22"/>
  <c r="C278" i="22"/>
  <c r="C280" i="22"/>
  <c r="C282" i="22"/>
  <c r="C284" i="22"/>
  <c r="C286" i="22"/>
  <c r="C288" i="22"/>
  <c r="C290" i="22"/>
  <c r="C292" i="22"/>
  <c r="C294" i="22"/>
  <c r="C296" i="22"/>
  <c r="C298" i="22"/>
  <c r="C300" i="22"/>
  <c r="C302" i="22"/>
  <c r="C304" i="22"/>
  <c r="C306" i="22"/>
  <c r="C308" i="22"/>
  <c r="C310" i="22"/>
  <c r="C312" i="22"/>
  <c r="C314" i="22"/>
  <c r="C316" i="22"/>
  <c r="C318" i="22"/>
  <c r="C320" i="22"/>
  <c r="C322" i="22"/>
  <c r="C324" i="22"/>
  <c r="C326" i="22"/>
  <c r="C328" i="22"/>
  <c r="C330" i="22"/>
  <c r="C332" i="22"/>
  <c r="C334" i="22"/>
  <c r="C336" i="22"/>
  <c r="C338" i="22"/>
  <c r="C340" i="22"/>
  <c r="C342" i="22"/>
  <c r="C344" i="22"/>
  <c r="C346" i="22"/>
  <c r="C348" i="22"/>
  <c r="C350" i="22"/>
  <c r="C352" i="22"/>
  <c r="C354" i="22"/>
  <c r="C356" i="22"/>
  <c r="C358" i="22"/>
  <c r="C360" i="22"/>
  <c r="C362" i="22"/>
  <c r="C364" i="22"/>
  <c r="D196" i="22"/>
  <c r="C199" i="22"/>
  <c r="D201" i="22"/>
  <c r="D204" i="22"/>
  <c r="C207" i="22"/>
  <c r="D209" i="22"/>
  <c r="D212" i="22"/>
  <c r="C215" i="22"/>
  <c r="D217" i="22"/>
  <c r="D220" i="22"/>
  <c r="C223" i="22"/>
  <c r="D225" i="22"/>
  <c r="D228" i="22"/>
  <c r="C231" i="22"/>
  <c r="D233" i="22"/>
  <c r="D236" i="22"/>
  <c r="C239" i="22"/>
  <c r="D241" i="22"/>
  <c r="D244" i="22"/>
  <c r="C197" i="22"/>
  <c r="D199" i="22"/>
  <c r="D202" i="22"/>
  <c r="C205" i="22"/>
  <c r="D207" i="22"/>
  <c r="D210" i="22"/>
  <c r="C213" i="22"/>
  <c r="D215" i="22"/>
  <c r="D218" i="22"/>
  <c r="C221" i="22"/>
  <c r="D223" i="22"/>
  <c r="D226" i="22"/>
  <c r="C229" i="22"/>
  <c r="D231" i="22"/>
  <c r="D234" i="22"/>
  <c r="C237" i="22"/>
  <c r="D239" i="22"/>
  <c r="D242" i="22"/>
  <c r="C245" i="22"/>
  <c r="D247" i="22"/>
  <c r="D250" i="22"/>
  <c r="C253" i="22"/>
  <c r="D255" i="22"/>
  <c r="D258" i="22"/>
  <c r="C261" i="22"/>
  <c r="D263" i="22"/>
  <c r="D266" i="22"/>
  <c r="C269" i="22"/>
  <c r="D271" i="22"/>
  <c r="D274" i="22"/>
  <c r="C277" i="22"/>
  <c r="D279" i="22"/>
  <c r="D282" i="22"/>
  <c r="C285" i="22"/>
  <c r="D287" i="22"/>
  <c r="D290" i="22"/>
  <c r="C293" i="22"/>
  <c r="D295" i="22"/>
  <c r="D298" i="22"/>
  <c r="C301" i="22"/>
  <c r="D303" i="22"/>
  <c r="D306" i="22"/>
  <c r="C309" i="22"/>
  <c r="D311" i="22"/>
  <c r="D314" i="22"/>
  <c r="C317" i="22"/>
  <c r="D319" i="22"/>
  <c r="D322" i="22"/>
  <c r="C325" i="22"/>
  <c r="D327" i="22"/>
  <c r="D330" i="22"/>
  <c r="C333" i="22"/>
  <c r="D335" i="22"/>
  <c r="D338" i="22"/>
  <c r="C341" i="22"/>
  <c r="D343" i="22"/>
  <c r="D346" i="22"/>
  <c r="C349" i="22"/>
  <c r="D351" i="22"/>
  <c r="D354" i="22"/>
  <c r="C357" i="22"/>
  <c r="D359" i="22"/>
  <c r="D362" i="22"/>
  <c r="C365" i="22"/>
  <c r="C367" i="22"/>
  <c r="C369" i="22"/>
  <c r="C371" i="22"/>
  <c r="C373" i="22"/>
  <c r="C375" i="22"/>
  <c r="C377" i="22"/>
  <c r="C379" i="22"/>
  <c r="C381" i="22"/>
  <c r="C383" i="22"/>
  <c r="C385" i="22"/>
  <c r="C387" i="22"/>
  <c r="C389" i="22"/>
  <c r="C391" i="22"/>
  <c r="C393" i="22"/>
  <c r="C395" i="22"/>
  <c r="C397" i="22"/>
  <c r="C399" i="22"/>
  <c r="C401" i="22"/>
  <c r="C403" i="22"/>
  <c r="C405" i="22"/>
  <c r="C407" i="22"/>
  <c r="C409" i="22"/>
  <c r="C411" i="22"/>
  <c r="C413" i="22"/>
  <c r="C415" i="22"/>
  <c r="C417" i="22"/>
  <c r="C419" i="22"/>
  <c r="C421" i="22"/>
  <c r="C423" i="22"/>
  <c r="C425" i="22"/>
  <c r="C427" i="22"/>
  <c r="C429" i="22"/>
  <c r="C431" i="22"/>
  <c r="C433" i="22"/>
  <c r="C435" i="22"/>
  <c r="C437" i="22"/>
  <c r="C439" i="22"/>
  <c r="C441" i="22"/>
  <c r="C443" i="22"/>
  <c r="C445" i="22"/>
  <c r="C447" i="22"/>
  <c r="C449" i="22"/>
  <c r="C451" i="22"/>
  <c r="C453" i="22"/>
  <c r="C455" i="22"/>
  <c r="C457" i="22"/>
  <c r="C459" i="22"/>
  <c r="C461" i="22"/>
  <c r="C463" i="22"/>
  <c r="C465" i="22"/>
  <c r="C467" i="22"/>
  <c r="C469" i="22"/>
  <c r="C471" i="22"/>
  <c r="C473" i="22"/>
  <c r="C475" i="22"/>
  <c r="C477" i="22"/>
  <c r="C479" i="22"/>
  <c r="C481" i="22"/>
  <c r="C483" i="22"/>
  <c r="C485" i="22"/>
  <c r="C487" i="22"/>
  <c r="C489" i="22"/>
  <c r="C491" i="22"/>
  <c r="C493" i="22"/>
  <c r="C495" i="22"/>
  <c r="C497" i="22"/>
  <c r="C499" i="22"/>
  <c r="C501" i="22"/>
  <c r="C503" i="22"/>
  <c r="C505" i="22"/>
  <c r="C507" i="22"/>
  <c r="C509" i="22"/>
  <c r="C511" i="22"/>
  <c r="C513" i="22"/>
  <c r="C515" i="22"/>
  <c r="C517" i="22"/>
  <c r="C519" i="22"/>
  <c r="C521" i="22"/>
  <c r="C523" i="22"/>
  <c r="C525" i="22"/>
  <c r="C527" i="22"/>
  <c r="C529" i="22"/>
  <c r="C531" i="22"/>
  <c r="C533" i="22"/>
  <c r="C535" i="22"/>
  <c r="C537" i="22"/>
  <c r="C539" i="22"/>
  <c r="C541" i="22"/>
  <c r="C543" i="22"/>
  <c r="C545" i="22"/>
  <c r="C547" i="22"/>
  <c r="C549" i="22"/>
  <c r="C551" i="22"/>
  <c r="C553" i="22"/>
  <c r="C555" i="22"/>
  <c r="C557" i="22"/>
  <c r="C559" i="22"/>
  <c r="C561" i="22"/>
  <c r="C563" i="22"/>
  <c r="C565" i="22"/>
  <c r="C567" i="22"/>
  <c r="C569" i="22"/>
  <c r="C571" i="22"/>
  <c r="C573" i="22"/>
  <c r="C575" i="22"/>
  <c r="C577" i="22"/>
  <c r="D200" i="22"/>
  <c r="D205" i="22"/>
  <c r="C211" i="22"/>
  <c r="D216" i="22"/>
  <c r="D221" i="22"/>
  <c r="C227" i="22"/>
  <c r="D232" i="22"/>
  <c r="D237" i="22"/>
  <c r="C243" i="22"/>
  <c r="C247" i="22"/>
  <c r="C251" i="22"/>
  <c r="D254" i="22"/>
  <c r="D257" i="22"/>
  <c r="D261" i="22"/>
  <c r="C265" i="22"/>
  <c r="D268" i="22"/>
  <c r="D272" i="22"/>
  <c r="D275" i="22"/>
  <c r="C279" i="22"/>
  <c r="C283" i="22"/>
  <c r="D286" i="22"/>
  <c r="D289" i="22"/>
  <c r="D293" i="22"/>
  <c r="C297" i="22"/>
  <c r="D300" i="22"/>
  <c r="D304" i="22"/>
  <c r="D307" i="22"/>
  <c r="C311" i="22"/>
  <c r="C315" i="22"/>
  <c r="D318" i="22"/>
  <c r="D321" i="22"/>
  <c r="D325" i="22"/>
  <c r="C329" i="22"/>
  <c r="D332" i="22"/>
  <c r="D336" i="22"/>
  <c r="D339" i="22"/>
  <c r="C343" i="22"/>
  <c r="C347" i="22"/>
  <c r="D350" i="22"/>
  <c r="D353" i="22"/>
  <c r="D357" i="22"/>
  <c r="C361" i="22"/>
  <c r="D364" i="22"/>
  <c r="D367" i="22"/>
  <c r="C370" i="22"/>
  <c r="D372" i="22"/>
  <c r="C201" i="22"/>
  <c r="D206" i="22"/>
  <c r="D211" i="22"/>
  <c r="C217" i="22"/>
  <c r="D222" i="22"/>
  <c r="D227" i="22"/>
  <c r="C233" i="22"/>
  <c r="D238" i="22"/>
  <c r="D243" i="22"/>
  <c r="D248" i="22"/>
  <c r="D251" i="22"/>
  <c r="C255" i="22"/>
  <c r="C259" i="22"/>
  <c r="D262" i="22"/>
  <c r="D265" i="22"/>
  <c r="D269" i="22"/>
  <c r="C273" i="22"/>
  <c r="D276" i="22"/>
  <c r="D280" i="22"/>
  <c r="D283" i="22"/>
  <c r="C287" i="22"/>
  <c r="C291" i="22"/>
  <c r="D294" i="22"/>
  <c r="D297" i="22"/>
  <c r="D301" i="22"/>
  <c r="C305" i="22"/>
  <c r="D308" i="22"/>
  <c r="D312" i="22"/>
  <c r="D315" i="22"/>
  <c r="C319" i="22"/>
  <c r="C323" i="22"/>
  <c r="D326" i="22"/>
  <c r="D329" i="22"/>
  <c r="D333" i="22"/>
  <c r="C337" i="22"/>
  <c r="D340" i="22"/>
  <c r="D344" i="22"/>
  <c r="D347" i="22"/>
  <c r="C351" i="22"/>
  <c r="C355" i="22"/>
  <c r="D358" i="22"/>
  <c r="D361" i="22"/>
  <c r="D365" i="22"/>
  <c r="C368" i="22"/>
  <c r="D370" i="22"/>
  <c r="D373" i="22"/>
  <c r="C376" i="22"/>
  <c r="D378" i="22"/>
  <c r="D197" i="22"/>
  <c r="C203" i="22"/>
  <c r="D208" i="22"/>
  <c r="D213" i="22"/>
  <c r="C219" i="22"/>
  <c r="D224" i="22"/>
  <c r="D229" i="22"/>
  <c r="C235" i="22"/>
  <c r="D240" i="22"/>
  <c r="D245" i="22"/>
  <c r="C249" i="22"/>
  <c r="D252" i="22"/>
  <c r="D256" i="22"/>
  <c r="D259" i="22"/>
  <c r="C263" i="22"/>
  <c r="C267" i="22"/>
  <c r="D270" i="22"/>
  <c r="D273" i="22"/>
  <c r="D277" i="22"/>
  <c r="C281" i="22"/>
  <c r="D284" i="22"/>
  <c r="D288" i="22"/>
  <c r="D291" i="22"/>
  <c r="C295" i="22"/>
  <c r="C299" i="22"/>
  <c r="D302" i="22"/>
  <c r="D305" i="22"/>
  <c r="D309" i="22"/>
  <c r="C313" i="22"/>
  <c r="D316" i="22"/>
  <c r="D320" i="22"/>
  <c r="D323" i="22"/>
  <c r="C327" i="22"/>
  <c r="C331" i="22"/>
  <c r="D334" i="22"/>
  <c r="D337" i="22"/>
  <c r="D341" i="22"/>
  <c r="C345" i="22"/>
  <c r="D348" i="22"/>
  <c r="D352" i="22"/>
  <c r="D355" i="22"/>
  <c r="C359" i="22"/>
  <c r="C363" i="22"/>
  <c r="C366" i="22"/>
  <c r="D368" i="22"/>
  <c r="D371" i="22"/>
  <c r="C374" i="22"/>
  <c r="D376" i="22"/>
  <c r="D379" i="22"/>
  <c r="C382" i="22"/>
  <c r="D384" i="22"/>
  <c r="D387" i="22"/>
  <c r="C390" i="22"/>
  <c r="D392" i="22"/>
  <c r="D395" i="22"/>
  <c r="C398" i="22"/>
  <c r="D400" i="22"/>
  <c r="D403" i="22"/>
  <c r="C406" i="22"/>
  <c r="D408" i="22"/>
  <c r="D411" i="22"/>
  <c r="C414" i="22"/>
  <c r="D416" i="22"/>
  <c r="D419" i="22"/>
  <c r="C422" i="22"/>
  <c r="D424" i="22"/>
  <c r="D427" i="22"/>
  <c r="C430" i="22"/>
  <c r="D432" i="22"/>
  <c r="D435" i="22"/>
  <c r="C438" i="22"/>
  <c r="D440" i="22"/>
  <c r="D443" i="22"/>
  <c r="C446" i="22"/>
  <c r="D448" i="22"/>
  <c r="D451" i="22"/>
  <c r="C454" i="22"/>
  <c r="D456" i="22"/>
  <c r="D459" i="22"/>
  <c r="C462" i="22"/>
  <c r="D464" i="22"/>
  <c r="D467" i="22"/>
  <c r="C470" i="22"/>
  <c r="D472" i="22"/>
  <c r="D475" i="22"/>
  <c r="D198" i="22"/>
  <c r="D203" i="22"/>
  <c r="C209" i="22"/>
  <c r="D214" i="22"/>
  <c r="D219" i="22"/>
  <c r="C225" i="22"/>
  <c r="D230" i="22"/>
  <c r="D235" i="22"/>
  <c r="C241" i="22"/>
  <c r="D246" i="22"/>
  <c r="D249" i="22"/>
  <c r="D253" i="22"/>
  <c r="C257" i="22"/>
  <c r="D260" i="22"/>
  <c r="D264" i="22"/>
  <c r="D267" i="22"/>
  <c r="C271" i="22"/>
  <c r="C275" i="22"/>
  <c r="D278" i="22"/>
  <c r="D281" i="22"/>
  <c r="D285" i="22"/>
  <c r="C289" i="22"/>
  <c r="D292" i="22"/>
  <c r="D296" i="22"/>
  <c r="D299" i="22"/>
  <c r="C303" i="22"/>
  <c r="C307" i="22"/>
  <c r="D310" i="22"/>
  <c r="D313" i="22"/>
  <c r="D317" i="22"/>
  <c r="C321" i="22"/>
  <c r="D324" i="22"/>
  <c r="D328" i="22"/>
  <c r="D331" i="22"/>
  <c r="C335" i="22"/>
  <c r="C339" i="22"/>
  <c r="D342" i="22"/>
  <c r="D345" i="22"/>
  <c r="D349" i="22"/>
  <c r="C353" i="22"/>
  <c r="D356" i="22"/>
  <c r="D360" i="22"/>
  <c r="D363" i="22"/>
  <c r="D366" i="22"/>
  <c r="D369" i="22"/>
  <c r="C372" i="22"/>
  <c r="D374" i="22"/>
  <c r="D377" i="22"/>
  <c r="C380" i="22"/>
  <c r="D382" i="22"/>
  <c r="D385" i="22"/>
  <c r="C388" i="22"/>
  <c r="D390" i="22"/>
  <c r="D393" i="22"/>
  <c r="C396" i="22"/>
  <c r="D398" i="22"/>
  <c r="D401" i="22"/>
  <c r="C404" i="22"/>
  <c r="D406" i="22"/>
  <c r="D409" i="22"/>
  <c r="C412" i="22"/>
  <c r="D414" i="22"/>
  <c r="D417" i="22"/>
  <c r="C420" i="22"/>
  <c r="D422" i="22"/>
  <c r="D425" i="22"/>
  <c r="C428" i="22"/>
  <c r="D430" i="22"/>
  <c r="D433" i="22"/>
  <c r="C436" i="22"/>
  <c r="D438" i="22"/>
  <c r="D441" i="22"/>
  <c r="C444" i="22"/>
  <c r="D446" i="22"/>
  <c r="D449" i="22"/>
  <c r="C452" i="22"/>
  <c r="D454" i="22"/>
  <c r="D457" i="22"/>
  <c r="C460" i="22"/>
  <c r="D462" i="22"/>
  <c r="D465" i="22"/>
  <c r="C468" i="22"/>
  <c r="D470" i="22"/>
  <c r="D473" i="22"/>
  <c r="C476" i="22"/>
  <c r="D478" i="22"/>
  <c r="D481" i="22"/>
  <c r="C484" i="22"/>
  <c r="D486" i="22"/>
  <c r="D489" i="22"/>
  <c r="C492" i="22"/>
  <c r="D494" i="22"/>
  <c r="D497" i="22"/>
  <c r="C500" i="22"/>
  <c r="D502" i="22"/>
  <c r="D505" i="22"/>
  <c r="C508" i="22"/>
  <c r="D510" i="22"/>
  <c r="D513" i="22"/>
  <c r="C516" i="22"/>
  <c r="D518" i="22"/>
  <c r="D521" i="22"/>
  <c r="C524" i="22"/>
  <c r="D526" i="22"/>
  <c r="D529" i="22"/>
  <c r="C532" i="22"/>
  <c r="D534" i="22"/>
  <c r="D537" i="22"/>
  <c r="C540" i="22"/>
  <c r="D542" i="22"/>
  <c r="D545" i="22"/>
  <c r="C548" i="22"/>
  <c r="D550" i="22"/>
  <c r="D553" i="22"/>
  <c r="C556" i="22"/>
  <c r="D558" i="22"/>
  <c r="D561" i="22"/>
  <c r="C564" i="22"/>
  <c r="D566" i="22"/>
  <c r="D569" i="22"/>
  <c r="C572" i="22"/>
  <c r="D574" i="22"/>
  <c r="D577" i="22"/>
  <c r="D579" i="22"/>
  <c r="D581" i="22"/>
  <c r="D583" i="22"/>
  <c r="D585" i="22"/>
  <c r="D587" i="22"/>
  <c r="D589" i="22"/>
  <c r="D591" i="22"/>
  <c r="D593" i="22"/>
  <c r="D595" i="22"/>
  <c r="D597" i="22"/>
  <c r="D599" i="22"/>
  <c r="D601" i="22"/>
  <c r="D603" i="22"/>
  <c r="D605" i="22"/>
  <c r="D607" i="22"/>
  <c r="D609" i="22"/>
  <c r="D611" i="22"/>
  <c r="D613" i="22"/>
  <c r="D615" i="22"/>
  <c r="D617" i="22"/>
  <c r="D619" i="22"/>
  <c r="D621" i="22"/>
  <c r="D623" i="22"/>
  <c r="D625" i="22"/>
  <c r="D627" i="22"/>
  <c r="D629" i="22"/>
  <c r="D631" i="22"/>
  <c r="D633" i="22"/>
  <c r="D635" i="22"/>
  <c r="D637" i="22"/>
  <c r="D639" i="22"/>
  <c r="D375" i="22"/>
  <c r="D383" i="22"/>
  <c r="D388" i="22"/>
  <c r="C394" i="22"/>
  <c r="D399" i="22"/>
  <c r="D404" i="22"/>
  <c r="C410" i="22"/>
  <c r="D415" i="22"/>
  <c r="D420" i="22"/>
  <c r="C426" i="22"/>
  <c r="D431" i="22"/>
  <c r="D436" i="22"/>
  <c r="C442" i="22"/>
  <c r="D447" i="22"/>
  <c r="D452" i="22"/>
  <c r="C458" i="22"/>
  <c r="D463" i="22"/>
  <c r="D468" i="22"/>
  <c r="C474" i="22"/>
  <c r="C478" i="22"/>
  <c r="C482" i="22"/>
  <c r="D485" i="22"/>
  <c r="D488" i="22"/>
  <c r="D492" i="22"/>
  <c r="C496" i="22"/>
  <c r="D499" i="22"/>
  <c r="D503" i="22"/>
  <c r="D506" i="22"/>
  <c r="C510" i="22"/>
  <c r="D517" i="22"/>
  <c r="D520" i="22"/>
  <c r="D524" i="22"/>
  <c r="C528" i="22"/>
  <c r="D531" i="22"/>
  <c r="D535" i="22"/>
  <c r="D538" i="22"/>
  <c r="C542" i="22"/>
  <c r="C546" i="22"/>
  <c r="D549" i="22"/>
  <c r="D552" i="22"/>
  <c r="C560" i="22"/>
  <c r="D567" i="22"/>
  <c r="C574" i="22"/>
  <c r="C583" i="22"/>
  <c r="C591" i="22"/>
  <c r="D596" i="22"/>
  <c r="D604" i="22"/>
  <c r="D612" i="22"/>
  <c r="C618" i="22"/>
  <c r="D628" i="22"/>
  <c r="D636" i="22"/>
  <c r="D643" i="22"/>
  <c r="D649" i="22"/>
  <c r="D657" i="22"/>
  <c r="D663" i="22"/>
  <c r="D669" i="22"/>
  <c r="D673" i="22"/>
  <c r="D677" i="22"/>
  <c r="D683" i="22"/>
  <c r="D689" i="22"/>
  <c r="D697" i="22"/>
  <c r="D701" i="22"/>
  <c r="C378" i="22"/>
  <c r="C384" i="22"/>
  <c r="D389" i="22"/>
  <c r="D394" i="22"/>
  <c r="C400" i="22"/>
  <c r="D405" i="22"/>
  <c r="D410" i="22"/>
  <c r="C416" i="22"/>
  <c r="D421" i="22"/>
  <c r="D426" i="22"/>
  <c r="C432" i="22"/>
  <c r="D437" i="22"/>
  <c r="D442" i="22"/>
  <c r="C448" i="22"/>
  <c r="D453" i="22"/>
  <c r="D458" i="22"/>
  <c r="C464" i="22"/>
  <c r="D469" i="22"/>
  <c r="D474" i="22"/>
  <c r="D479" i="22"/>
  <c r="D482" i="22"/>
  <c r="C486" i="22"/>
  <c r="C490" i="22"/>
  <c r="D493" i="22"/>
  <c r="D496" i="22"/>
  <c r="D500" i="22"/>
  <c r="C504" i="22"/>
  <c r="D507" i="22"/>
  <c r="D511" i="22"/>
  <c r="D514" i="22"/>
  <c r="C518" i="22"/>
  <c r="C522" i="22"/>
  <c r="D525" i="22"/>
  <c r="D528" i="22"/>
  <c r="D532" i="22"/>
  <c r="C536" i="22"/>
  <c r="D539" i="22"/>
  <c r="D543" i="22"/>
  <c r="D546" i="22"/>
  <c r="C550" i="22"/>
  <c r="C554" i="22"/>
  <c r="D557" i="22"/>
  <c r="D560" i="22"/>
  <c r="D564" i="22"/>
  <c r="C568" i="22"/>
  <c r="D571" i="22"/>
  <c r="D575" i="22"/>
  <c r="D578" i="22"/>
  <c r="C581" i="22"/>
  <c r="C584" i="22"/>
  <c r="D586" i="22"/>
  <c r="C589" i="22"/>
  <c r="C592" i="22"/>
  <c r="D594" i="22"/>
  <c r="C597" i="22"/>
  <c r="C600" i="22"/>
  <c r="D602" i="22"/>
  <c r="C605" i="22"/>
  <c r="C608" i="22"/>
  <c r="D610" i="22"/>
  <c r="C613" i="22"/>
  <c r="C616" i="22"/>
  <c r="D618" i="22"/>
  <c r="C621" i="22"/>
  <c r="C624" i="22"/>
  <c r="D626" i="22"/>
  <c r="C629" i="22"/>
  <c r="C632" i="22"/>
  <c r="D634" i="22"/>
  <c r="C637" i="22"/>
  <c r="C640" i="22"/>
  <c r="C642" i="22"/>
  <c r="C644" i="22"/>
  <c r="C646" i="22"/>
  <c r="C648" i="22"/>
  <c r="C650" i="22"/>
  <c r="C652" i="22"/>
  <c r="C654" i="22"/>
  <c r="C656" i="22"/>
  <c r="C658" i="22"/>
  <c r="C660" i="22"/>
  <c r="C662" i="22"/>
  <c r="C664" i="22"/>
  <c r="C666" i="22"/>
  <c r="C668" i="22"/>
  <c r="D380" i="22"/>
  <c r="C386" i="22"/>
  <c r="D391" i="22"/>
  <c r="D396" i="22"/>
  <c r="C402" i="22"/>
  <c r="D407" i="22"/>
  <c r="D412" i="22"/>
  <c r="C418" i="22"/>
  <c r="D423" i="22"/>
  <c r="D428" i="22"/>
  <c r="C434" i="22"/>
  <c r="D439" i="22"/>
  <c r="D444" i="22"/>
  <c r="C450" i="22"/>
  <c r="D455" i="22"/>
  <c r="D460" i="22"/>
  <c r="C466" i="22"/>
  <c r="D471" i="22"/>
  <c r="D476" i="22"/>
  <c r="C480" i="22"/>
  <c r="D483" i="22"/>
  <c r="D487" i="22"/>
  <c r="D490" i="22"/>
  <c r="C494" i="22"/>
  <c r="C498" i="22"/>
  <c r="D501" i="22"/>
  <c r="D504" i="22"/>
  <c r="D508" i="22"/>
  <c r="C512" i="22"/>
  <c r="D515" i="22"/>
  <c r="D519" i="22"/>
  <c r="D522" i="22"/>
  <c r="C526" i="22"/>
  <c r="C530" i="22"/>
  <c r="D533" i="22"/>
  <c r="D536" i="22"/>
  <c r="D540" i="22"/>
  <c r="C544" i="22"/>
  <c r="D547" i="22"/>
  <c r="D551" i="22"/>
  <c r="D554" i="22"/>
  <c r="C558" i="22"/>
  <c r="C562" i="22"/>
  <c r="D565" i="22"/>
  <c r="D568" i="22"/>
  <c r="D572" i="22"/>
  <c r="C576" i="22"/>
  <c r="C579" i="22"/>
  <c r="C582" i="22"/>
  <c r="D584" i="22"/>
  <c r="C587" i="22"/>
  <c r="C590" i="22"/>
  <c r="D592" i="22"/>
  <c r="C595" i="22"/>
  <c r="C598" i="22"/>
  <c r="D600" i="22"/>
  <c r="C603" i="22"/>
  <c r="C606" i="22"/>
  <c r="D608" i="22"/>
  <c r="C611" i="22"/>
  <c r="C614" i="22"/>
  <c r="D616" i="22"/>
  <c r="C619" i="22"/>
  <c r="C622" i="22"/>
  <c r="D624" i="22"/>
  <c r="C627" i="22"/>
  <c r="C630" i="22"/>
  <c r="D632" i="22"/>
  <c r="C635" i="22"/>
  <c r="C638" i="22"/>
  <c r="D640" i="22"/>
  <c r="D642" i="22"/>
  <c r="D644" i="22"/>
  <c r="D646" i="22"/>
  <c r="D648" i="22"/>
  <c r="D650" i="22"/>
  <c r="D652" i="22"/>
  <c r="D654" i="22"/>
  <c r="D656" i="22"/>
  <c r="D658" i="22"/>
  <c r="D660" i="22"/>
  <c r="D662" i="22"/>
  <c r="D664" i="22"/>
  <c r="D666" i="22"/>
  <c r="D668" i="22"/>
  <c r="D670" i="22"/>
  <c r="D381" i="22"/>
  <c r="D386" i="22"/>
  <c r="C392" i="22"/>
  <c r="D397" i="22"/>
  <c r="D402" i="22"/>
  <c r="C408" i="22"/>
  <c r="D413" i="22"/>
  <c r="D418" i="22"/>
  <c r="C424" i="22"/>
  <c r="D429" i="22"/>
  <c r="D434" i="22"/>
  <c r="C440" i="22"/>
  <c r="D445" i="22"/>
  <c r="D450" i="22"/>
  <c r="C456" i="22"/>
  <c r="D461" i="22"/>
  <c r="D466" i="22"/>
  <c r="C472" i="22"/>
  <c r="D477" i="22"/>
  <c r="D480" i="22"/>
  <c r="D484" i="22"/>
  <c r="C488" i="22"/>
  <c r="D491" i="22"/>
  <c r="D495" i="22"/>
  <c r="D498" i="22"/>
  <c r="C502" i="22"/>
  <c r="C506" i="22"/>
  <c r="D509" i="22"/>
  <c r="D512" i="22"/>
  <c r="D516" i="22"/>
  <c r="C520" i="22"/>
  <c r="D523" i="22"/>
  <c r="D527" i="22"/>
  <c r="D530" i="22"/>
  <c r="C534" i="22"/>
  <c r="C538" i="22"/>
  <c r="D541" i="22"/>
  <c r="D544" i="22"/>
  <c r="D548" i="22"/>
  <c r="C552" i="22"/>
  <c r="D555" i="22"/>
  <c r="D559" i="22"/>
  <c r="D562" i="22"/>
  <c r="C566" i="22"/>
  <c r="C570" i="22"/>
  <c r="D573" i="22"/>
  <c r="D576" i="22"/>
  <c r="C580" i="22"/>
  <c r="D582" i="22"/>
  <c r="C585" i="22"/>
  <c r="C588" i="22"/>
  <c r="D590" i="22"/>
  <c r="C593" i="22"/>
  <c r="C596" i="22"/>
  <c r="D598" i="22"/>
  <c r="C601" i="22"/>
  <c r="C604" i="22"/>
  <c r="D606" i="22"/>
  <c r="C609" i="22"/>
  <c r="C612" i="22"/>
  <c r="D614" i="22"/>
  <c r="C617" i="22"/>
  <c r="C620" i="22"/>
  <c r="D622" i="22"/>
  <c r="C625" i="22"/>
  <c r="C628" i="22"/>
  <c r="D630" i="22"/>
  <c r="C633" i="22"/>
  <c r="C636" i="22"/>
  <c r="D638" i="22"/>
  <c r="C641" i="22"/>
  <c r="C643" i="22"/>
  <c r="C645" i="22"/>
  <c r="C647" i="22"/>
  <c r="C649" i="22"/>
  <c r="C651" i="22"/>
  <c r="C653" i="22"/>
  <c r="C655" i="22"/>
  <c r="C657" i="22"/>
  <c r="C659" i="22"/>
  <c r="C661" i="22"/>
  <c r="C663" i="22"/>
  <c r="C665" i="22"/>
  <c r="C667" i="22"/>
  <c r="C669" i="22"/>
  <c r="C671" i="22"/>
  <c r="C673" i="22"/>
  <c r="C675" i="22"/>
  <c r="C677" i="22"/>
  <c r="C679" i="22"/>
  <c r="C681" i="22"/>
  <c r="C683" i="22"/>
  <c r="C685" i="22"/>
  <c r="C687" i="22"/>
  <c r="C689" i="22"/>
  <c r="C691" i="22"/>
  <c r="C693" i="22"/>
  <c r="C695" i="22"/>
  <c r="C697" i="22"/>
  <c r="C699" i="22"/>
  <c r="C701" i="22"/>
  <c r="C703" i="22"/>
  <c r="C705" i="22"/>
  <c r="C707" i="22"/>
  <c r="C709" i="22"/>
  <c r="C711" i="22"/>
  <c r="C713" i="22"/>
  <c r="C715" i="22"/>
  <c r="C717" i="22"/>
  <c r="C719" i="22"/>
  <c r="C721" i="22"/>
  <c r="C723" i="22"/>
  <c r="C725" i="22"/>
  <c r="C727" i="22"/>
  <c r="C729" i="22"/>
  <c r="C731" i="22"/>
  <c r="C733" i="22"/>
  <c r="C735" i="22"/>
  <c r="C514" i="22"/>
  <c r="D556" i="22"/>
  <c r="D563" i="22"/>
  <c r="D570" i="22"/>
  <c r="C578" i="22"/>
  <c r="D580" i="22"/>
  <c r="C586" i="22"/>
  <c r="D588" i="22"/>
  <c r="C594" i="22"/>
  <c r="C599" i="22"/>
  <c r="C602" i="22"/>
  <c r="C607" i="22"/>
  <c r="C610" i="22"/>
  <c r="C615" i="22"/>
  <c r="D620" i="22"/>
  <c r="C623" i="22"/>
  <c r="C626" i="22"/>
  <c r="C631" i="22"/>
  <c r="C634" i="22"/>
  <c r="C639" i="22"/>
  <c r="D641" i="22"/>
  <c r="D645" i="22"/>
  <c r="D647" i="22"/>
  <c r="D651" i="22"/>
  <c r="D653" i="22"/>
  <c r="D655" i="22"/>
  <c r="D659" i="22"/>
  <c r="D661" i="22"/>
  <c r="D665" i="22"/>
  <c r="D667" i="22"/>
  <c r="D671" i="22"/>
  <c r="D675" i="22"/>
  <c r="D679" i="22"/>
  <c r="D681" i="22"/>
  <c r="D685" i="22"/>
  <c r="D687" i="22"/>
  <c r="D691" i="22"/>
  <c r="D693" i="22"/>
  <c r="D695" i="22"/>
  <c r="D699" i="22"/>
  <c r="D703" i="22"/>
  <c r="D705" i="22"/>
  <c r="D733" i="22"/>
  <c r="D730" i="22"/>
  <c r="C728" i="22"/>
  <c r="D725" i="22"/>
  <c r="D722" i="22"/>
  <c r="C720" i="22"/>
  <c r="D717" i="22"/>
  <c r="D714" i="22"/>
  <c r="C712" i="22"/>
  <c r="D709" i="22"/>
  <c r="D706" i="22"/>
  <c r="D702" i="22"/>
  <c r="D698" i="22"/>
  <c r="D694" i="22"/>
  <c r="D690" i="22"/>
  <c r="D686" i="22"/>
  <c r="D682" i="22"/>
  <c r="D678" i="22"/>
  <c r="D674" i="22"/>
  <c r="C670" i="22"/>
  <c r="D735" i="22"/>
  <c r="D732" i="22"/>
  <c r="C730" i="22"/>
  <c r="D727" i="22"/>
  <c r="D724" i="22"/>
  <c r="C722" i="22"/>
  <c r="D719" i="22"/>
  <c r="D716" i="22"/>
  <c r="C714" i="22"/>
  <c r="D711" i="22"/>
  <c r="D708" i="22"/>
  <c r="C706" i="22"/>
  <c r="C702" i="22"/>
  <c r="C698" i="22"/>
  <c r="C694" i="22"/>
  <c r="C690" i="22"/>
  <c r="C686" i="22"/>
  <c r="C682" i="22"/>
  <c r="C678" i="22"/>
  <c r="C674" i="22"/>
  <c r="U42" i="18"/>
  <c r="O22" i="11" l="1"/>
  <c r="N22" i="11"/>
  <c r="Q22" i="11"/>
  <c r="N20" i="6"/>
  <c r="I20" i="6"/>
  <c r="M20" i="6"/>
  <c r="H20" i="6"/>
  <c r="K20" i="6"/>
  <c r="L20" i="6"/>
  <c r="J20" i="6"/>
  <c r="G21" i="6"/>
  <c r="D16" i="22"/>
  <c r="S53" i="18"/>
  <c r="K53" i="18"/>
  <c r="C53" i="18"/>
  <c r="J21" i="6" l="1"/>
  <c r="G22" i="6"/>
  <c r="N21" i="6"/>
  <c r="N22" i="6" s="1"/>
  <c r="K21" i="6"/>
  <c r="L21" i="6"/>
  <c r="H21" i="6"/>
  <c r="M21" i="6"/>
  <c r="M22" i="6" s="1"/>
  <c r="I21" i="6"/>
  <c r="E16" i="22"/>
  <c r="C17" i="22" s="1"/>
  <c r="M23" i="6" l="1"/>
  <c r="L22" i="6"/>
  <c r="H22" i="6"/>
  <c r="G23" i="6"/>
  <c r="J22" i="6"/>
  <c r="I22" i="6"/>
  <c r="K22" i="6"/>
  <c r="D17" i="22"/>
  <c r="I23" i="6" l="1"/>
  <c r="K23" i="6"/>
  <c r="H23" i="6"/>
  <c r="L23" i="6"/>
  <c r="N23" i="6"/>
  <c r="G24" i="6"/>
  <c r="J23" i="6"/>
  <c r="J24" i="6" l="1"/>
  <c r="M24" i="6"/>
  <c r="K24" i="6"/>
  <c r="L24" i="6"/>
  <c r="H24" i="6"/>
  <c r="N24" i="6"/>
  <c r="G25" i="6"/>
  <c r="I24" i="6"/>
  <c r="E17" i="22"/>
  <c r="C18" i="22" s="1"/>
  <c r="M41" i="18"/>
  <c r="M45" i="18" s="1"/>
  <c r="L57" i="18" s="1"/>
  <c r="J25" i="6" l="1"/>
  <c r="I25" i="6"/>
  <c r="H25" i="6"/>
  <c r="K25" i="6"/>
  <c r="N25" i="6"/>
  <c r="L25" i="6"/>
  <c r="G26" i="6"/>
  <c r="M25" i="6"/>
  <c r="D18" i="22"/>
  <c r="U41" i="18"/>
  <c r="K26" i="6" l="1"/>
  <c r="J26" i="6"/>
  <c r="N26" i="6"/>
  <c r="L26" i="6"/>
  <c r="H26" i="6"/>
  <c r="M26" i="6"/>
  <c r="G27" i="6"/>
  <c r="I26" i="6"/>
  <c r="E18" i="22"/>
  <c r="C19" i="22" s="1"/>
  <c r="G28" i="6" l="1"/>
  <c r="I27" i="6"/>
  <c r="H27" i="6"/>
  <c r="J27" i="6"/>
  <c r="N27" i="6"/>
  <c r="K27" i="6"/>
  <c r="L27" i="6"/>
  <c r="M27" i="6"/>
  <c r="D19" i="22"/>
  <c r="E19" i="22" s="1"/>
  <c r="C20" i="22" s="1"/>
  <c r="D20" i="22" s="1"/>
  <c r="E20" i="22" s="1"/>
  <c r="H28" i="6" l="1"/>
  <c r="M28" i="6"/>
  <c r="K28" i="6"/>
  <c r="G29" i="6"/>
  <c r="L28" i="6"/>
  <c r="J28" i="6"/>
  <c r="N28" i="6"/>
  <c r="I28" i="6"/>
  <c r="C21" i="22"/>
  <c r="D21" i="22" s="1"/>
  <c r="E21" i="22" s="1"/>
  <c r="L29" i="6" l="1"/>
  <c r="I29" i="6"/>
  <c r="H29" i="6"/>
  <c r="G30" i="6"/>
  <c r="N29" i="6"/>
  <c r="J29" i="6"/>
  <c r="K29" i="6"/>
  <c r="M29" i="6"/>
  <c r="C22" i="22"/>
  <c r="D22" i="22" s="1"/>
  <c r="E22" i="22" s="1"/>
  <c r="C23" i="22" s="1"/>
  <c r="D23" i="22" s="1"/>
  <c r="E23" i="22" s="1"/>
  <c r="C24" i="22" s="1"/>
  <c r="D24" i="22" s="1"/>
  <c r="E24" i="22" s="1"/>
  <c r="I125" i="13"/>
  <c r="L125" i="13" s="1"/>
  <c r="J88" i="13"/>
  <c r="J87" i="13"/>
  <c r="J86" i="13"/>
  <c r="J85" i="13"/>
  <c r="J84" i="13"/>
  <c r="N30" i="6" l="1"/>
  <c r="I30" i="6"/>
  <c r="K30" i="6"/>
  <c r="H30" i="6"/>
  <c r="J30" i="6"/>
  <c r="G31" i="6"/>
  <c r="L30" i="6"/>
  <c r="M30" i="6"/>
  <c r="C25" i="22"/>
  <c r="D25" i="22" s="1"/>
  <c r="E25" i="22" s="1"/>
  <c r="K31" i="6" l="1"/>
  <c r="I31" i="6"/>
  <c r="H31" i="6"/>
  <c r="L31" i="6"/>
  <c r="N31" i="6"/>
  <c r="G32" i="6"/>
  <c r="J31" i="6"/>
  <c r="M31" i="6"/>
  <c r="C26" i="22"/>
  <c r="D26" i="22" s="1"/>
  <c r="E26" i="22" s="1"/>
  <c r="C27" i="22" s="1"/>
  <c r="D27" i="22" s="1"/>
  <c r="E27" i="22" s="1"/>
  <c r="C28" i="22" s="1"/>
  <c r="D28" i="22" s="1"/>
  <c r="E28" i="22" s="1"/>
  <c r="C29" i="22" s="1"/>
  <c r="D29" i="22" s="1"/>
  <c r="E29" i="22" s="1"/>
  <c r="C30" i="22" s="1"/>
  <c r="D30" i="22" s="1"/>
  <c r="E30" i="22" s="1"/>
  <c r="C31" i="22" s="1"/>
  <c r="D31" i="22" s="1"/>
  <c r="E31" i="22" s="1"/>
  <c r="M47" i="18"/>
  <c r="J32" i="6" l="1"/>
  <c r="M32" i="6"/>
  <c r="K32" i="6"/>
  <c r="L32" i="6"/>
  <c r="H32" i="6"/>
  <c r="N32" i="6"/>
  <c r="G33" i="6"/>
  <c r="I32" i="6"/>
  <c r="U44" i="18"/>
  <c r="U45" i="18" s="1"/>
  <c r="T57" i="18" s="1"/>
  <c r="U47" i="18"/>
  <c r="C32" i="22"/>
  <c r="D32" i="22" s="1"/>
  <c r="E32" i="22" s="1"/>
  <c r="B72" i="18"/>
  <c r="J33" i="6" l="1"/>
  <c r="I33" i="6"/>
  <c r="H33" i="6"/>
  <c r="K33" i="6"/>
  <c r="N33" i="6"/>
  <c r="L33" i="6"/>
  <c r="G34" i="6"/>
  <c r="M33" i="6"/>
  <c r="C33" i="22"/>
  <c r="D33" i="22" s="1"/>
  <c r="E33" i="22" s="1"/>
  <c r="G44" i="20"/>
  <c r="J44" i="20" s="1"/>
  <c r="G42" i="20"/>
  <c r="J42" i="20" s="1"/>
  <c r="G37" i="20"/>
  <c r="J37" i="20" s="1"/>
  <c r="G34" i="20"/>
  <c r="J34" i="20" s="1"/>
  <c r="G33" i="20"/>
  <c r="J33" i="20" s="1"/>
  <c r="G31" i="20"/>
  <c r="J31" i="20" s="1"/>
  <c r="G28" i="20"/>
  <c r="J28" i="20" s="1"/>
  <c r="G27" i="20"/>
  <c r="J27" i="20" s="1"/>
  <c r="G21" i="20"/>
  <c r="J21" i="20" s="1"/>
  <c r="G20" i="20"/>
  <c r="J20" i="20" s="1"/>
  <c r="G16" i="20"/>
  <c r="J16" i="20" s="1"/>
  <c r="G35" i="6" l="1"/>
  <c r="I34" i="6"/>
  <c r="K34" i="6"/>
  <c r="J34" i="6"/>
  <c r="N34" i="6"/>
  <c r="L34" i="6"/>
  <c r="H34" i="6"/>
  <c r="M34" i="6"/>
  <c r="C34" i="22"/>
  <c r="D34" i="22" s="1"/>
  <c r="E34" i="22" s="1"/>
  <c r="I127" i="13"/>
  <c r="I128" i="13"/>
  <c r="I126" i="13"/>
  <c r="I124" i="13"/>
  <c r="I123" i="13"/>
  <c r="J128" i="13"/>
  <c r="K128" i="13"/>
  <c r="M128" i="13"/>
  <c r="M118" i="13"/>
  <c r="M48" i="13"/>
  <c r="E16" i="11" s="1"/>
  <c r="M24" i="13"/>
  <c r="M23" i="13"/>
  <c r="M22" i="13"/>
  <c r="E9" i="11" s="1"/>
  <c r="M21" i="13"/>
  <c r="M17" i="13"/>
  <c r="M4" i="13" s="1"/>
  <c r="M18" i="13"/>
  <c r="M19" i="13"/>
  <c r="M15" i="13"/>
  <c r="K15" i="13"/>
  <c r="M97" i="13"/>
  <c r="H6" i="13"/>
  <c r="G6" i="13"/>
  <c r="F6" i="13"/>
  <c r="E6" i="13"/>
  <c r="D6" i="13"/>
  <c r="C6" i="13"/>
  <c r="B6" i="13"/>
  <c r="M8" i="13" l="1"/>
  <c r="J35" i="6"/>
  <c r="L35" i="6"/>
  <c r="G36" i="6"/>
  <c r="I35" i="6"/>
  <c r="H35" i="6"/>
  <c r="N35" i="6"/>
  <c r="K35" i="6"/>
  <c r="M35" i="6"/>
  <c r="C35" i="22"/>
  <c r="D35" i="22" s="1"/>
  <c r="E35" i="22" s="1"/>
  <c r="M5" i="13"/>
  <c r="H36" i="6" l="1"/>
  <c r="I36" i="6"/>
  <c r="K36" i="6"/>
  <c r="G37" i="6"/>
  <c r="L36" i="6"/>
  <c r="J36" i="6"/>
  <c r="N36" i="6"/>
  <c r="M36" i="6"/>
  <c r="C36" i="22"/>
  <c r="D36" i="22" s="1"/>
  <c r="E36" i="22" s="1"/>
  <c r="M24" i="11"/>
  <c r="G24" i="11"/>
  <c r="D24" i="11"/>
  <c r="Q71" i="18"/>
  <c r="Y71" i="18" s="1"/>
  <c r="P71" i="18"/>
  <c r="X71" i="18" s="1"/>
  <c r="O71" i="18"/>
  <c r="W71" i="18" s="1"/>
  <c r="N71" i="18"/>
  <c r="V71" i="18" s="1"/>
  <c r="M71" i="18"/>
  <c r="U71" i="18" s="1"/>
  <c r="L71" i="18"/>
  <c r="T71" i="18" s="1"/>
  <c r="K71" i="18"/>
  <c r="S71" i="18" s="1"/>
  <c r="C34" i="3"/>
  <c r="C31" i="3" s="1"/>
  <c r="H15" i="11"/>
  <c r="I12" i="11"/>
  <c r="H12" i="11"/>
  <c r="B16" i="14"/>
  <c r="B2" i="14"/>
  <c r="B50" i="14"/>
  <c r="B32" i="14"/>
  <c r="I36" i="13"/>
  <c r="L36" i="13" s="1"/>
  <c r="I16" i="11"/>
  <c r="H16" i="11"/>
  <c r="I35" i="11"/>
  <c r="I28" i="11"/>
  <c r="I27" i="11"/>
  <c r="J111" i="13"/>
  <c r="M111" i="13" s="1"/>
  <c r="J110" i="13"/>
  <c r="M110" i="13" s="1"/>
  <c r="J109" i="13"/>
  <c r="M109" i="13" s="1"/>
  <c r="E32" i="11" s="1"/>
  <c r="J107" i="13"/>
  <c r="M107" i="13" s="1"/>
  <c r="J100" i="13"/>
  <c r="M100" i="13" s="1"/>
  <c r="J99" i="13"/>
  <c r="M99" i="13" s="1"/>
  <c r="E29" i="11" s="1"/>
  <c r="I117" i="13"/>
  <c r="I116" i="13"/>
  <c r="I115" i="13"/>
  <c r="I114" i="13"/>
  <c r="L114" i="13" s="1"/>
  <c r="I113" i="13"/>
  <c r="L113" i="13" s="1"/>
  <c r="I112" i="13"/>
  <c r="L112" i="13" s="1"/>
  <c r="I111" i="13"/>
  <c r="L111" i="13" s="1"/>
  <c r="I110" i="13"/>
  <c r="L110" i="13" s="1"/>
  <c r="I109" i="13"/>
  <c r="F32" i="11" s="1"/>
  <c r="I107" i="13"/>
  <c r="L107" i="13" s="1"/>
  <c r="I96" i="13"/>
  <c r="I95" i="13"/>
  <c r="I103" i="13"/>
  <c r="L103" i="13" s="1"/>
  <c r="I102" i="13"/>
  <c r="L102" i="13" s="1"/>
  <c r="I101" i="13"/>
  <c r="I100" i="13"/>
  <c r="L100" i="13" s="1"/>
  <c r="I99" i="13"/>
  <c r="L99" i="13" s="1"/>
  <c r="F29" i="11" s="1"/>
  <c r="I90" i="13"/>
  <c r="I89" i="13"/>
  <c r="L89" i="13" s="1"/>
  <c r="I91" i="13"/>
  <c r="I88" i="13"/>
  <c r="I87" i="13"/>
  <c r="I86" i="13"/>
  <c r="I85" i="13"/>
  <c r="I84" i="13"/>
  <c r="I83" i="13"/>
  <c r="K88" i="13"/>
  <c r="M88" i="13"/>
  <c r="K87" i="13"/>
  <c r="M87" i="13"/>
  <c r="K86" i="13"/>
  <c r="M86" i="13"/>
  <c r="K85" i="13"/>
  <c r="M85" i="13"/>
  <c r="K84" i="13"/>
  <c r="M84" i="13"/>
  <c r="M83" i="13"/>
  <c r="I9" i="11"/>
  <c r="H8" i="13"/>
  <c r="G8" i="13"/>
  <c r="F8" i="13"/>
  <c r="E8" i="13"/>
  <c r="D8" i="13"/>
  <c r="B8" i="13"/>
  <c r="H5" i="13"/>
  <c r="G5" i="13"/>
  <c r="F5" i="13"/>
  <c r="E5" i="13"/>
  <c r="D5" i="13"/>
  <c r="B5" i="13"/>
  <c r="I61" i="13"/>
  <c r="I9" i="13" s="1"/>
  <c r="I60" i="13"/>
  <c r="L60" i="13" s="1"/>
  <c r="I59" i="13"/>
  <c r="L59" i="13" s="1"/>
  <c r="I58" i="13"/>
  <c r="L58" i="13" s="1"/>
  <c r="I57" i="13"/>
  <c r="L57" i="13" s="1"/>
  <c r="I56" i="13"/>
  <c r="L56" i="13" s="1"/>
  <c r="I55" i="13"/>
  <c r="L55" i="13" s="1"/>
  <c r="I50" i="13"/>
  <c r="L50" i="13" s="1"/>
  <c r="I49" i="13"/>
  <c r="L49" i="13" s="1"/>
  <c r="I48" i="13"/>
  <c r="I42" i="13"/>
  <c r="L42" i="13" s="1"/>
  <c r="I43" i="13"/>
  <c r="L43" i="13" s="1"/>
  <c r="I41" i="13"/>
  <c r="L41" i="13" s="1"/>
  <c r="I40" i="13"/>
  <c r="L40" i="13" s="1"/>
  <c r="I38" i="13"/>
  <c r="L38" i="13" s="1"/>
  <c r="I39" i="13"/>
  <c r="L39" i="13" s="1"/>
  <c r="I37" i="13"/>
  <c r="L37" i="13" s="1"/>
  <c r="I28" i="13"/>
  <c r="L28" i="13" s="1"/>
  <c r="I31" i="13"/>
  <c r="I29" i="13"/>
  <c r="L29" i="13" s="1"/>
  <c r="I30" i="13"/>
  <c r="I24" i="13"/>
  <c r="L24" i="13" s="1"/>
  <c r="I23" i="13"/>
  <c r="L23" i="13" s="1"/>
  <c r="I22" i="13"/>
  <c r="L22" i="13" s="1"/>
  <c r="I21" i="13"/>
  <c r="L21" i="13" s="1"/>
  <c r="I19" i="13"/>
  <c r="L19" i="13" s="1"/>
  <c r="I18" i="13"/>
  <c r="L18" i="13" s="1"/>
  <c r="I17" i="13"/>
  <c r="L17" i="13" s="1"/>
  <c r="I16" i="13"/>
  <c r="L16" i="13" s="1"/>
  <c r="I15" i="13"/>
  <c r="L15" i="13" s="1"/>
  <c r="J61" i="13"/>
  <c r="J60" i="13"/>
  <c r="J59" i="13"/>
  <c r="J58" i="13"/>
  <c r="J57" i="13"/>
  <c r="J55" i="13"/>
  <c r="J56" i="13"/>
  <c r="J50" i="13"/>
  <c r="J49" i="13"/>
  <c r="K48" i="13"/>
  <c r="K8" i="13" s="1"/>
  <c r="J48" i="13"/>
  <c r="J8" i="13" s="1"/>
  <c r="J42" i="13"/>
  <c r="K42" i="13" s="1"/>
  <c r="J43" i="13"/>
  <c r="K43" i="13" s="1"/>
  <c r="J41" i="13"/>
  <c r="K41" i="13" s="1"/>
  <c r="J40" i="13"/>
  <c r="K40" i="13" s="1"/>
  <c r="J38" i="13"/>
  <c r="J39" i="13"/>
  <c r="J36" i="13"/>
  <c r="J37" i="13"/>
  <c r="K37" i="13" s="1"/>
  <c r="J31" i="13"/>
  <c r="K24" i="13"/>
  <c r="J24" i="13"/>
  <c r="K23" i="13"/>
  <c r="J23" i="13"/>
  <c r="K22" i="13"/>
  <c r="K5" i="13" s="1"/>
  <c r="J22" i="13"/>
  <c r="J5" i="13" s="1"/>
  <c r="K21" i="13"/>
  <c r="J21" i="13"/>
  <c r="K19" i="13"/>
  <c r="J19" i="13"/>
  <c r="K18" i="13"/>
  <c r="J18" i="13"/>
  <c r="K17" i="13"/>
  <c r="K4" i="13" s="1"/>
  <c r="J17" i="13"/>
  <c r="J4" i="13" s="1"/>
  <c r="J15" i="13"/>
  <c r="I8" i="11"/>
  <c r="B35" i="11"/>
  <c r="B34" i="11"/>
  <c r="B32" i="11"/>
  <c r="B31" i="11"/>
  <c r="B29" i="11"/>
  <c r="B28" i="11"/>
  <c r="B27" i="11"/>
  <c r="B26" i="11"/>
  <c r="B22" i="11"/>
  <c r="B21" i="11"/>
  <c r="B19" i="11"/>
  <c r="B18" i="11"/>
  <c r="B16" i="11"/>
  <c r="B15" i="11"/>
  <c r="B14" i="11"/>
  <c r="B12" i="11"/>
  <c r="B11" i="11"/>
  <c r="B9" i="11"/>
  <c r="B8" i="11"/>
  <c r="B7" i="11"/>
  <c r="H9" i="13"/>
  <c r="G9" i="13"/>
  <c r="F9" i="13"/>
  <c r="E9" i="13"/>
  <c r="D9" i="13"/>
  <c r="C9" i="13"/>
  <c r="H7" i="13"/>
  <c r="G7" i="13"/>
  <c r="F7" i="13"/>
  <c r="E7" i="13"/>
  <c r="D7" i="13"/>
  <c r="C7" i="13"/>
  <c r="H4" i="13"/>
  <c r="G4" i="13"/>
  <c r="F4" i="13"/>
  <c r="E4" i="13"/>
  <c r="D4" i="13"/>
  <c r="C4" i="13"/>
  <c r="J29" i="13" l="1"/>
  <c r="L31" i="13"/>
  <c r="F12" i="11" s="1"/>
  <c r="E27" i="11"/>
  <c r="L37" i="6"/>
  <c r="I37" i="6"/>
  <c r="H37" i="6"/>
  <c r="G38" i="6"/>
  <c r="N37" i="6"/>
  <c r="J37" i="6"/>
  <c r="K37" i="6"/>
  <c r="M37" i="6"/>
  <c r="C37" i="22"/>
  <c r="D37" i="22" s="1"/>
  <c r="E37" i="22" s="1"/>
  <c r="K111" i="13"/>
  <c r="K109" i="13"/>
  <c r="K32" i="11" s="1"/>
  <c r="K107" i="13"/>
  <c r="K110" i="13"/>
  <c r="K100" i="13"/>
  <c r="K99" i="13"/>
  <c r="K83" i="13"/>
  <c r="L30" i="13"/>
  <c r="L6" i="13" s="1"/>
  <c r="I6" i="13"/>
  <c r="J28" i="13"/>
  <c r="M28" i="13" s="1"/>
  <c r="K39" i="13"/>
  <c r="M39" i="13"/>
  <c r="K49" i="13"/>
  <c r="M49" i="13"/>
  <c r="K57" i="13"/>
  <c r="M57" i="13"/>
  <c r="K38" i="13"/>
  <c r="M38" i="13"/>
  <c r="M42" i="13"/>
  <c r="K50" i="13"/>
  <c r="M50" i="13"/>
  <c r="K58" i="13"/>
  <c r="M58" i="13"/>
  <c r="E19" i="11" s="1"/>
  <c r="K29" i="13"/>
  <c r="M29" i="13"/>
  <c r="M40" i="13"/>
  <c r="K59" i="13"/>
  <c r="M59" i="13"/>
  <c r="M37" i="13"/>
  <c r="K56" i="13"/>
  <c r="M56" i="13"/>
  <c r="K36" i="13"/>
  <c r="M36" i="13"/>
  <c r="M41" i="13"/>
  <c r="K55" i="13"/>
  <c r="M55" i="13"/>
  <c r="K60" i="13"/>
  <c r="M60" i="13"/>
  <c r="K31" i="13"/>
  <c r="M31" i="13"/>
  <c r="E12" i="11" s="1"/>
  <c r="M43" i="13"/>
  <c r="M7" i="13" s="1"/>
  <c r="K61" i="13"/>
  <c r="K9" i="13" s="1"/>
  <c r="M61" i="13"/>
  <c r="M9" i="13" s="1"/>
  <c r="J9" i="13"/>
  <c r="P19" i="11" s="1"/>
  <c r="I15" i="11"/>
  <c r="J30" i="13"/>
  <c r="N12" i="11"/>
  <c r="R12" i="11"/>
  <c r="O12" i="11"/>
  <c r="J28" i="11"/>
  <c r="O35" i="11"/>
  <c r="H28" i="11"/>
  <c r="J35" i="11"/>
  <c r="O19" i="11"/>
  <c r="H35" i="11"/>
  <c r="L48" i="13"/>
  <c r="L8" i="13" s="1"/>
  <c r="L5" i="13"/>
  <c r="L29" i="11"/>
  <c r="H8" i="11"/>
  <c r="L61" i="13"/>
  <c r="L9" i="13" s="1"/>
  <c r="I7" i="13"/>
  <c r="H9" i="11"/>
  <c r="H19" i="11"/>
  <c r="I19" i="11"/>
  <c r="F15" i="11"/>
  <c r="F19" i="11"/>
  <c r="L32" i="11"/>
  <c r="N19" i="11"/>
  <c r="F8" i="11"/>
  <c r="H32" i="11"/>
  <c r="J32" i="11"/>
  <c r="I32" i="11"/>
  <c r="I29" i="11"/>
  <c r="J29" i="11"/>
  <c r="K29" i="11"/>
  <c r="H29" i="11"/>
  <c r="H27" i="11"/>
  <c r="K27" i="11"/>
  <c r="L15" i="11"/>
  <c r="J16" i="11"/>
  <c r="K16" i="11"/>
  <c r="R19" i="11"/>
  <c r="J7" i="13"/>
  <c r="J8" i="11"/>
  <c r="I5" i="13"/>
  <c r="K9" i="11"/>
  <c r="J9" i="11"/>
  <c r="I8" i="13"/>
  <c r="L8" i="11"/>
  <c r="L9" i="11"/>
  <c r="F9" i="11"/>
  <c r="K7" i="13"/>
  <c r="B9" i="13"/>
  <c r="B7" i="13"/>
  <c r="B4" i="13"/>
  <c r="L123" i="13"/>
  <c r="C12" i="11"/>
  <c r="E15" i="11" l="1"/>
  <c r="K15" i="11" s="1"/>
  <c r="K28" i="13"/>
  <c r="J19" i="11"/>
  <c r="K38" i="6"/>
  <c r="G39" i="6"/>
  <c r="M38" i="6"/>
  <c r="N38" i="6"/>
  <c r="I38" i="6"/>
  <c r="H38" i="6"/>
  <c r="J38" i="6"/>
  <c r="L38" i="6"/>
  <c r="L12" i="11"/>
  <c r="C38" i="22"/>
  <c r="D38" i="22" s="1"/>
  <c r="E38" i="22" s="1"/>
  <c r="K19" i="11"/>
  <c r="R35" i="11"/>
  <c r="F16" i="11"/>
  <c r="L16" i="11"/>
  <c r="Q19" i="11"/>
  <c r="L19" i="11"/>
  <c r="K30" i="13"/>
  <c r="K6" i="13" s="1"/>
  <c r="M30" i="13"/>
  <c r="M6" i="13" s="1"/>
  <c r="J6" i="13"/>
  <c r="P12" i="11" s="1"/>
  <c r="P35" i="11"/>
  <c r="N35" i="11"/>
  <c r="R8" i="11"/>
  <c r="O8" i="11"/>
  <c r="N8" i="11"/>
  <c r="N9" i="11"/>
  <c r="O9" i="11"/>
  <c r="J15" i="11"/>
  <c r="P28" i="11"/>
  <c r="O28" i="11"/>
  <c r="N28" i="11"/>
  <c r="L35" i="11"/>
  <c r="F35" i="11"/>
  <c r="O16" i="11"/>
  <c r="N16" i="11"/>
  <c r="O15" i="11"/>
  <c r="N15" i="11"/>
  <c r="O32" i="11"/>
  <c r="R32" i="11"/>
  <c r="N32" i="11"/>
  <c r="Q32" i="11"/>
  <c r="P32" i="11"/>
  <c r="N29" i="11"/>
  <c r="R29" i="11"/>
  <c r="Q29" i="11"/>
  <c r="O29" i="11"/>
  <c r="P29" i="11"/>
  <c r="N27" i="11"/>
  <c r="P27" i="11"/>
  <c r="Q27" i="11"/>
  <c r="O27" i="11"/>
  <c r="P16" i="11"/>
  <c r="R16" i="11"/>
  <c r="Q16" i="11"/>
  <c r="P15" i="11"/>
  <c r="R15" i="11"/>
  <c r="Q15" i="11"/>
  <c r="P9" i="11"/>
  <c r="R9" i="11"/>
  <c r="Q9" i="11"/>
  <c r="P8" i="11"/>
  <c r="G8" i="8"/>
  <c r="N39" i="6" l="1"/>
  <c r="J39" i="6"/>
  <c r="M39" i="6"/>
  <c r="I39" i="6"/>
  <c r="K39" i="6"/>
  <c r="H39" i="6"/>
  <c r="L39" i="6"/>
  <c r="G40" i="6"/>
  <c r="C39" i="22"/>
  <c r="D39" i="22" s="1"/>
  <c r="J12" i="11"/>
  <c r="K12" i="11"/>
  <c r="Q12" i="11"/>
  <c r="I40" i="6" l="1"/>
  <c r="G41" i="6"/>
  <c r="M40" i="6"/>
  <c r="J40" i="6"/>
  <c r="K40" i="6"/>
  <c r="L40" i="6"/>
  <c r="H40" i="6"/>
  <c r="N40" i="6"/>
  <c r="E39" i="22"/>
  <c r="X33" i="18"/>
  <c r="S33" i="18"/>
  <c r="P33" i="18"/>
  <c r="O33" i="18"/>
  <c r="W33" i="18" s="1"/>
  <c r="N33" i="18"/>
  <c r="V33" i="18" s="1"/>
  <c r="M33" i="18"/>
  <c r="U33" i="18" s="1"/>
  <c r="K33" i="18"/>
  <c r="K46" i="18"/>
  <c r="K40" i="18"/>
  <c r="N41" i="6" l="1"/>
  <c r="L41" i="6"/>
  <c r="I41" i="6"/>
  <c r="G42" i="6"/>
  <c r="M41" i="6"/>
  <c r="J41" i="6"/>
  <c r="H41" i="6"/>
  <c r="K41" i="6"/>
  <c r="C40" i="22"/>
  <c r="E44" i="20"/>
  <c r="D44" i="20"/>
  <c r="E43" i="20"/>
  <c r="D43" i="20"/>
  <c r="E42" i="20"/>
  <c r="D42" i="20"/>
  <c r="H42" i="20"/>
  <c r="E38" i="20"/>
  <c r="D38" i="20"/>
  <c r="I38" i="20"/>
  <c r="I37" i="20"/>
  <c r="F6" i="20"/>
  <c r="E37" i="20"/>
  <c r="D37" i="20"/>
  <c r="E34" i="20"/>
  <c r="D34" i="20"/>
  <c r="B34" i="20"/>
  <c r="B33" i="20"/>
  <c r="E33" i="20"/>
  <c r="D33" i="20"/>
  <c r="I33" i="20"/>
  <c r="D32" i="20"/>
  <c r="E32" i="20"/>
  <c r="H32" i="20"/>
  <c r="E31" i="20"/>
  <c r="D31" i="20"/>
  <c r="E28" i="20"/>
  <c r="D28" i="20"/>
  <c r="H28" i="20"/>
  <c r="E27" i="20"/>
  <c r="D27" i="20"/>
  <c r="H27" i="20"/>
  <c r="E24" i="20"/>
  <c r="D24" i="20"/>
  <c r="D23" i="20"/>
  <c r="H24" i="20"/>
  <c r="E23" i="20"/>
  <c r="I23" i="20"/>
  <c r="E22" i="20"/>
  <c r="D22" i="20"/>
  <c r="I22" i="20"/>
  <c r="E21" i="20"/>
  <c r="D21" i="20"/>
  <c r="I21" i="20"/>
  <c r="E20" i="20"/>
  <c r="D20" i="20"/>
  <c r="H19" i="20"/>
  <c r="E19" i="20"/>
  <c r="D19" i="20"/>
  <c r="E16" i="20"/>
  <c r="D16" i="20"/>
  <c r="E110" i="19"/>
  <c r="E118" i="19"/>
  <c r="E124" i="19"/>
  <c r="E131" i="19"/>
  <c r="E103" i="19"/>
  <c r="E98" i="19"/>
  <c r="E91" i="19"/>
  <c r="E84" i="19"/>
  <c r="D7" i="19"/>
  <c r="D6" i="19"/>
  <c r="D5" i="19"/>
  <c r="D4" i="19"/>
  <c r="D3" i="19"/>
  <c r="D2" i="19"/>
  <c r="E77" i="19"/>
  <c r="E72" i="19"/>
  <c r="B44" i="14"/>
  <c r="B43" i="14"/>
  <c r="B42" i="14"/>
  <c r="B41" i="14"/>
  <c r="B40" i="14"/>
  <c r="B39" i="14"/>
  <c r="B44" i="20"/>
  <c r="B43" i="20"/>
  <c r="B42" i="20"/>
  <c r="B41" i="20"/>
  <c r="B38" i="20"/>
  <c r="B37" i="20"/>
  <c r="B32" i="20"/>
  <c r="B31" i="20"/>
  <c r="E66" i="19"/>
  <c r="E61" i="19"/>
  <c r="B28" i="20"/>
  <c r="B27" i="20"/>
  <c r="E54" i="19"/>
  <c r="E49" i="19"/>
  <c r="E42" i="19"/>
  <c r="B24" i="20"/>
  <c r="B23" i="20"/>
  <c r="B22" i="20"/>
  <c r="B21" i="20"/>
  <c r="B20" i="20"/>
  <c r="B19" i="20"/>
  <c r="B16" i="20"/>
  <c r="E30" i="19"/>
  <c r="E36" i="19"/>
  <c r="E24" i="19"/>
  <c r="E13" i="19"/>
  <c r="E60" i="19" l="1"/>
  <c r="M42" i="6"/>
  <c r="G43" i="6"/>
  <c r="J42" i="6"/>
  <c r="N42" i="6"/>
  <c r="I42" i="6"/>
  <c r="H42" i="6"/>
  <c r="K42" i="6"/>
  <c r="L42" i="6"/>
  <c r="D40" i="22"/>
  <c r="H37" i="20"/>
  <c r="H43" i="20"/>
  <c r="H20" i="20"/>
  <c r="I34" i="20"/>
  <c r="H23" i="20"/>
  <c r="I28" i="20"/>
  <c r="I24" i="20"/>
  <c r="I32" i="20"/>
  <c r="H34" i="20"/>
  <c r="I43" i="20"/>
  <c r="H21" i="20"/>
  <c r="H31" i="20"/>
  <c r="I19" i="20"/>
  <c r="I31" i="20"/>
  <c r="I42" i="20"/>
  <c r="H33" i="20"/>
  <c r="H44" i="20"/>
  <c r="I44" i="20"/>
  <c r="I27" i="20"/>
  <c r="H38" i="20"/>
  <c r="I20" i="20"/>
  <c r="H16" i="20"/>
  <c r="I16" i="20"/>
  <c r="H22" i="20"/>
  <c r="E71" i="19"/>
  <c r="E23" i="19"/>
  <c r="E3" i="19" s="1"/>
  <c r="A40" i="14" s="1"/>
  <c r="E4" i="19"/>
  <c r="A41" i="14" s="1"/>
  <c r="I43" i="6" l="1"/>
  <c r="L43" i="6"/>
  <c r="M43" i="6"/>
  <c r="G44" i="6"/>
  <c r="N43" i="6"/>
  <c r="H43" i="6"/>
  <c r="J43" i="6"/>
  <c r="K43" i="6"/>
  <c r="E40" i="22"/>
  <c r="J6" i="20"/>
  <c r="J3" i="20"/>
  <c r="B27" i="14"/>
  <c r="C81" i="14"/>
  <c r="C72" i="14" l="1"/>
  <c r="E72" i="14"/>
  <c r="D72" i="14"/>
  <c r="I44" i="6"/>
  <c r="N44" i="6"/>
  <c r="M44" i="6"/>
  <c r="H44" i="6"/>
  <c r="K44" i="6"/>
  <c r="G45" i="6"/>
  <c r="L44" i="6"/>
  <c r="J44" i="6"/>
  <c r="C41" i="22"/>
  <c r="B22" i="14"/>
  <c r="B21" i="14"/>
  <c r="B20" i="14"/>
  <c r="B19" i="14"/>
  <c r="I45" i="6" l="1"/>
  <c r="K45" i="6"/>
  <c r="L45" i="6"/>
  <c r="N45" i="6"/>
  <c r="M45" i="6"/>
  <c r="H45" i="6"/>
  <c r="G46" i="6"/>
  <c r="J45" i="6"/>
  <c r="D41" i="22"/>
  <c r="E60" i="14"/>
  <c r="E59" i="14"/>
  <c r="E56" i="14"/>
  <c r="D60" i="14"/>
  <c r="D59" i="14"/>
  <c r="D56" i="14"/>
  <c r="E53" i="14"/>
  <c r="C60" i="14"/>
  <c r="C59" i="14"/>
  <c r="C56" i="14"/>
  <c r="C53" i="14"/>
  <c r="I46" i="6" l="1"/>
  <c r="L46" i="6"/>
  <c r="N46" i="6"/>
  <c r="J46" i="6"/>
  <c r="M46" i="6"/>
  <c r="H46" i="6"/>
  <c r="K46" i="6"/>
  <c r="G47" i="6"/>
  <c r="E41" i="22"/>
  <c r="I11" i="20"/>
  <c r="I9" i="20"/>
  <c r="I47" i="6" l="1"/>
  <c r="J47" i="6"/>
  <c r="M47" i="6"/>
  <c r="L47" i="6"/>
  <c r="N47" i="6"/>
  <c r="K47" i="6"/>
  <c r="H47" i="6"/>
  <c r="G48" i="6"/>
  <c r="C42" i="22"/>
  <c r="K97" i="13"/>
  <c r="G38" i="9"/>
  <c r="E38" i="9"/>
  <c r="C38" i="9"/>
  <c r="O3" i="11"/>
  <c r="O2" i="11"/>
  <c r="I3" i="11"/>
  <c r="I2" i="11"/>
  <c r="J3" i="11"/>
  <c r="P3" i="11"/>
  <c r="R7" i="11"/>
  <c r="Q7" i="11"/>
  <c r="P7" i="11"/>
  <c r="L124" i="13"/>
  <c r="I97" i="13"/>
  <c r="L97" i="13" s="1"/>
  <c r="L7" i="13"/>
  <c r="E54" i="14"/>
  <c r="C30" i="3"/>
  <c r="J16" i="13" s="1"/>
  <c r="K16" i="13" s="1"/>
  <c r="C32" i="3"/>
  <c r="C33" i="3"/>
  <c r="C19" i="11"/>
  <c r="C35" i="3"/>
  <c r="C11" i="11"/>
  <c r="F34" i="11"/>
  <c r="E34" i="11"/>
  <c r="F31" i="11"/>
  <c r="E31" i="11"/>
  <c r="F26" i="11"/>
  <c r="E26" i="11"/>
  <c r="F21" i="11"/>
  <c r="E21" i="11"/>
  <c r="F18" i="11"/>
  <c r="E18" i="11"/>
  <c r="F14" i="11"/>
  <c r="E14" i="11"/>
  <c r="F11" i="11"/>
  <c r="E11" i="11"/>
  <c r="E97" i="19"/>
  <c r="E6" i="19" s="1"/>
  <c r="E7" i="20"/>
  <c r="I7" i="20" s="1"/>
  <c r="E6" i="20"/>
  <c r="I6" i="20" s="1"/>
  <c r="E5" i="20"/>
  <c r="I5" i="20" s="1"/>
  <c r="E4" i="20"/>
  <c r="I4" i="20" s="1"/>
  <c r="E3" i="20"/>
  <c r="I3" i="20" s="1"/>
  <c r="E2" i="20"/>
  <c r="I2" i="20" s="1"/>
  <c r="J74" i="13" l="1"/>
  <c r="J77" i="13"/>
  <c r="L75" i="13"/>
  <c r="L69" i="13"/>
  <c r="J75" i="13"/>
  <c r="J78" i="13"/>
  <c r="J73" i="13"/>
  <c r="L71" i="13"/>
  <c r="L66" i="13"/>
  <c r="J76" i="13"/>
  <c r="L77" i="13"/>
  <c r="L70" i="13"/>
  <c r="L73" i="13"/>
  <c r="L68" i="13"/>
  <c r="L78" i="13"/>
  <c r="L74" i="13"/>
  <c r="L76" i="13"/>
  <c r="L10" i="13" s="1"/>
  <c r="L67" i="13"/>
  <c r="J68" i="13"/>
  <c r="J69" i="13"/>
  <c r="J72" i="13"/>
  <c r="J71" i="13"/>
  <c r="J70" i="13"/>
  <c r="I48" i="6"/>
  <c r="G49" i="6"/>
  <c r="J48" i="6"/>
  <c r="N48" i="6"/>
  <c r="M48" i="6"/>
  <c r="H48" i="6"/>
  <c r="K48" i="6"/>
  <c r="L48" i="6"/>
  <c r="D42" i="22"/>
  <c r="M16" i="13"/>
  <c r="E8" i="11" s="1"/>
  <c r="A43" i="14"/>
  <c r="L4" i="13"/>
  <c r="I4" i="13"/>
  <c r="E5" i="19"/>
  <c r="A42" i="14" s="1"/>
  <c r="E109" i="19"/>
  <c r="E7" i="19" s="1"/>
  <c r="A44" i="14" s="1"/>
  <c r="E2" i="19"/>
  <c r="D55" i="14"/>
  <c r="E55" i="14"/>
  <c r="C55" i="14"/>
  <c r="C16" i="11"/>
  <c r="C15" i="11"/>
  <c r="C22" i="11"/>
  <c r="D54" i="14"/>
  <c r="C121" i="13"/>
  <c r="C105" i="13"/>
  <c r="C81" i="13"/>
  <c r="C64" i="13"/>
  <c r="C53" i="13"/>
  <c r="C34" i="13"/>
  <c r="C26" i="13"/>
  <c r="F3" i="20"/>
  <c r="C34" i="11"/>
  <c r="O34" i="11"/>
  <c r="N34" i="11"/>
  <c r="M34" i="11"/>
  <c r="I34" i="11"/>
  <c r="H34" i="11"/>
  <c r="G34" i="11"/>
  <c r="D34" i="11"/>
  <c r="C31" i="11"/>
  <c r="O31" i="11"/>
  <c r="N31" i="11"/>
  <c r="M31" i="11"/>
  <c r="I31" i="11"/>
  <c r="H31" i="11"/>
  <c r="G31" i="11"/>
  <c r="D31" i="11"/>
  <c r="C26" i="11"/>
  <c r="O26" i="11"/>
  <c r="M26" i="11"/>
  <c r="I26" i="11"/>
  <c r="H26" i="11"/>
  <c r="G26" i="11"/>
  <c r="D26" i="11"/>
  <c r="C21" i="11"/>
  <c r="O21" i="11"/>
  <c r="N21" i="11"/>
  <c r="M21" i="11"/>
  <c r="I21" i="11"/>
  <c r="H21" i="11"/>
  <c r="G21" i="11"/>
  <c r="D21" i="11"/>
  <c r="C18" i="11"/>
  <c r="O18" i="11"/>
  <c r="N18" i="11"/>
  <c r="M18" i="11"/>
  <c r="I18" i="11"/>
  <c r="H18" i="11"/>
  <c r="G18" i="11"/>
  <c r="D18" i="11"/>
  <c r="C14" i="11"/>
  <c r="O14" i="11"/>
  <c r="N14" i="11"/>
  <c r="M14" i="11"/>
  <c r="I14" i="11"/>
  <c r="H14" i="11"/>
  <c r="G14" i="11"/>
  <c r="D14" i="11"/>
  <c r="O11" i="11"/>
  <c r="N11" i="11"/>
  <c r="M11" i="11"/>
  <c r="I11" i="11"/>
  <c r="H11" i="11"/>
  <c r="G11" i="11"/>
  <c r="D11" i="11"/>
  <c r="K69" i="13" l="1"/>
  <c r="M69" i="13"/>
  <c r="M70" i="13"/>
  <c r="K70" i="13"/>
  <c r="K68" i="13"/>
  <c r="M68" i="13"/>
  <c r="M73" i="13"/>
  <c r="K73" i="13"/>
  <c r="M71" i="13"/>
  <c r="K71" i="13"/>
  <c r="K76" i="13"/>
  <c r="K10" i="13" s="1"/>
  <c r="M76" i="13"/>
  <c r="M10" i="13" s="1"/>
  <c r="J10" i="13"/>
  <c r="K78" i="13"/>
  <c r="M78" i="13"/>
  <c r="M77" i="13"/>
  <c r="K77" i="13"/>
  <c r="K72" i="13"/>
  <c r="M72" i="13"/>
  <c r="F22" i="11"/>
  <c r="L22" i="11"/>
  <c r="D57" i="14" s="1"/>
  <c r="R22" i="11"/>
  <c r="E57" i="14" s="1"/>
  <c r="E21" i="14" s="1"/>
  <c r="M75" i="13"/>
  <c r="K75" i="13"/>
  <c r="K74" i="13"/>
  <c r="M74" i="13"/>
  <c r="A39" i="14"/>
  <c r="C2" i="19"/>
  <c r="I49" i="6"/>
  <c r="G50" i="6"/>
  <c r="J49" i="6"/>
  <c r="H49" i="6"/>
  <c r="N49" i="6"/>
  <c r="M49" i="6"/>
  <c r="K49" i="6"/>
  <c r="L49" i="6"/>
  <c r="E42" i="22"/>
  <c r="D40" i="14"/>
  <c r="K8" i="11"/>
  <c r="Q8" i="11"/>
  <c r="E2" i="11"/>
  <c r="D53" i="14"/>
  <c r="C54" i="14"/>
  <c r="E8" i="19"/>
  <c r="F2" i="20"/>
  <c r="F5" i="20"/>
  <c r="D42" i="14" s="1"/>
  <c r="F4" i="20"/>
  <c r="D41" i="14" s="1"/>
  <c r="J2" i="20"/>
  <c r="J22" i="11" l="1"/>
  <c r="P22" i="11"/>
  <c r="D21" i="14"/>
  <c r="C57" i="14"/>
  <c r="C21" i="14" s="1"/>
  <c r="F2" i="11"/>
  <c r="I50" i="6"/>
  <c r="H50" i="6"/>
  <c r="J50" i="6"/>
  <c r="M50" i="6"/>
  <c r="G51" i="6"/>
  <c r="K50" i="6"/>
  <c r="N50" i="6"/>
  <c r="L50" i="6"/>
  <c r="C43" i="22"/>
  <c r="D43" i="22" s="1"/>
  <c r="E43" i="22" s="1"/>
  <c r="F9" i="20"/>
  <c r="D47" i="14" s="1"/>
  <c r="D39" i="14"/>
  <c r="E39" i="14"/>
  <c r="D43" i="14"/>
  <c r="E43" i="14"/>
  <c r="S17" i="18"/>
  <c r="T17" i="18"/>
  <c r="U17" i="18"/>
  <c r="W34" i="18"/>
  <c r="X34" i="18"/>
  <c r="V23" i="18" s="1"/>
  <c r="V35" i="18"/>
  <c r="W35" i="18"/>
  <c r="X35" i="18"/>
  <c r="V24" i="18" s="1"/>
  <c r="V37" i="18"/>
  <c r="W37" i="18"/>
  <c r="X37" i="18"/>
  <c r="V26" i="18" s="1"/>
  <c r="S67" i="18"/>
  <c r="S68" i="18" s="1"/>
  <c r="S72" i="18"/>
  <c r="S73" i="18" s="1"/>
  <c r="K73" i="18"/>
  <c r="K72" i="18"/>
  <c r="C72" i="18"/>
  <c r="C74" i="18" s="1"/>
  <c r="K67" i="18"/>
  <c r="K68" i="18" s="1"/>
  <c r="C67" i="18"/>
  <c r="C68" i="18"/>
  <c r="Q66" i="18"/>
  <c r="Y66" i="18" s="1"/>
  <c r="P66" i="18"/>
  <c r="X66" i="18" s="1"/>
  <c r="O66" i="18"/>
  <c r="W66" i="18" s="1"/>
  <c r="N66" i="18"/>
  <c r="V66" i="18" s="1"/>
  <c r="M66" i="18"/>
  <c r="U66" i="18" s="1"/>
  <c r="L66" i="18"/>
  <c r="T66" i="18" s="1"/>
  <c r="K66" i="18"/>
  <c r="S66" i="18" s="1"/>
  <c r="L56" i="18"/>
  <c r="T56" i="18" s="1"/>
  <c r="K56" i="18"/>
  <c r="S56" i="18" s="1"/>
  <c r="K23" i="18"/>
  <c r="P37" i="18"/>
  <c r="N26" i="18" s="1"/>
  <c r="O37" i="18"/>
  <c r="N37" i="18"/>
  <c r="M29" i="18"/>
  <c r="U29" i="18" s="1"/>
  <c r="K29" i="18"/>
  <c r="S29" i="18" s="1"/>
  <c r="H37" i="18"/>
  <c r="F26" i="18" s="1"/>
  <c r="H36" i="18"/>
  <c r="F25" i="18" s="1"/>
  <c r="H35" i="18"/>
  <c r="F24" i="18" s="1"/>
  <c r="H34" i="18"/>
  <c r="F23" i="18" s="1"/>
  <c r="C26" i="18"/>
  <c r="C25" i="18"/>
  <c r="C24" i="18"/>
  <c r="M17" i="18"/>
  <c r="L17" i="18"/>
  <c r="K17" i="18"/>
  <c r="M9" i="18"/>
  <c r="U9" i="18" s="1"/>
  <c r="M8" i="18"/>
  <c r="U8" i="18" s="1"/>
  <c r="L9" i="18"/>
  <c r="T9" i="18" s="1"/>
  <c r="L8" i="18"/>
  <c r="T8" i="18" s="1"/>
  <c r="K9" i="18"/>
  <c r="S9" i="18" s="1"/>
  <c r="K8" i="18"/>
  <c r="S8" i="18" s="1"/>
  <c r="C19" i="9"/>
  <c r="G37" i="18"/>
  <c r="F37" i="18"/>
  <c r="G36" i="18"/>
  <c r="F36" i="18"/>
  <c r="G35" i="18"/>
  <c r="F35" i="18"/>
  <c r="G34" i="18"/>
  <c r="F34" i="18"/>
  <c r="E17" i="18"/>
  <c r="D17" i="18"/>
  <c r="C17" i="18"/>
  <c r="I51" i="6" l="1"/>
  <c r="L51" i="6"/>
  <c r="M51" i="6"/>
  <c r="G52" i="6"/>
  <c r="H51" i="6"/>
  <c r="J51" i="6"/>
  <c r="N51" i="6"/>
  <c r="K51" i="6"/>
  <c r="C44" i="22"/>
  <c r="D44" i="22" s="1"/>
  <c r="E44" i="22" s="1"/>
  <c r="E24" i="14"/>
  <c r="K74" i="18"/>
  <c r="C73" i="18"/>
  <c r="S74" i="18"/>
  <c r="K24" i="18"/>
  <c r="J5" i="20"/>
  <c r="E40" i="14"/>
  <c r="J4" i="20"/>
  <c r="K25" i="18"/>
  <c r="K26" i="18"/>
  <c r="D57" i="18"/>
  <c r="C24" i="14" s="1"/>
  <c r="I52" i="6" l="1"/>
  <c r="N52" i="6"/>
  <c r="M52" i="6"/>
  <c r="H52" i="6"/>
  <c r="G53" i="6"/>
  <c r="L52" i="6"/>
  <c r="K52" i="6"/>
  <c r="J52" i="6"/>
  <c r="C45" i="22"/>
  <c r="D45" i="22" s="1"/>
  <c r="E45" i="22" s="1"/>
  <c r="J9" i="20"/>
  <c r="E41" i="14"/>
  <c r="E42" i="14"/>
  <c r="S23" i="18"/>
  <c r="S24" i="18"/>
  <c r="S25" i="18"/>
  <c r="S26" i="18"/>
  <c r="B13" i="14"/>
  <c r="I53" i="6" l="1"/>
  <c r="K53" i="6"/>
  <c r="M53" i="6"/>
  <c r="L53" i="6"/>
  <c r="H53" i="6"/>
  <c r="G54" i="6"/>
  <c r="N53" i="6"/>
  <c r="J53" i="6"/>
  <c r="C46" i="22"/>
  <c r="D46" i="22" s="1"/>
  <c r="E46" i="22" s="1"/>
  <c r="E47" i="14"/>
  <c r="D24" i="14"/>
  <c r="I54" i="6" l="1"/>
  <c r="L54" i="6"/>
  <c r="M54" i="6"/>
  <c r="N54" i="6"/>
  <c r="K54" i="6"/>
  <c r="H54" i="6"/>
  <c r="J54" i="6"/>
  <c r="G55" i="6"/>
  <c r="C47" i="22"/>
  <c r="D47" i="22" s="1"/>
  <c r="E47" i="22" s="1"/>
  <c r="C9" i="11"/>
  <c r="C8" i="11"/>
  <c r="I55" i="6" l="1"/>
  <c r="J55" i="6"/>
  <c r="M55" i="6"/>
  <c r="H55" i="6"/>
  <c r="G56" i="6"/>
  <c r="K55" i="6"/>
  <c r="N55" i="6"/>
  <c r="L55" i="6"/>
  <c r="C48" i="22"/>
  <c r="D48" i="22" s="1"/>
  <c r="E48" i="22" s="1"/>
  <c r="C44" i="3"/>
  <c r="I56" i="6" l="1"/>
  <c r="G57" i="6"/>
  <c r="K56" i="6"/>
  <c r="L56" i="6"/>
  <c r="H56" i="6"/>
  <c r="M56" i="6"/>
  <c r="J56" i="6"/>
  <c r="N56" i="6"/>
  <c r="C49" i="22"/>
  <c r="D49" i="22" s="1"/>
  <c r="E49" i="22" s="1"/>
  <c r="I57" i="6" l="1"/>
  <c r="G58" i="6"/>
  <c r="H57" i="6"/>
  <c r="M57" i="6"/>
  <c r="J57" i="6"/>
  <c r="N57" i="6"/>
  <c r="K57" i="6"/>
  <c r="L57" i="6"/>
  <c r="C50" i="22"/>
  <c r="D50" i="22" s="1"/>
  <c r="E50" i="22" s="1"/>
  <c r="J2" i="11"/>
  <c r="I58" i="6" l="1"/>
  <c r="H58" i="6"/>
  <c r="K58" i="6"/>
  <c r="M58" i="6"/>
  <c r="N58" i="6"/>
  <c r="J58" i="6"/>
  <c r="G59" i="6"/>
  <c r="L58" i="6"/>
  <c r="C51" i="22"/>
  <c r="D51" i="22" s="1"/>
  <c r="E51" i="22" s="1"/>
  <c r="P2" i="11"/>
  <c r="Q2" i="11"/>
  <c r="K59" i="6" l="1"/>
  <c r="H59" i="6"/>
  <c r="G60" i="6"/>
  <c r="M59" i="6"/>
  <c r="J59" i="6"/>
  <c r="I59" i="6"/>
  <c r="N59" i="6"/>
  <c r="L59" i="6"/>
  <c r="C52" i="22"/>
  <c r="D52" i="22" s="1"/>
  <c r="E52" i="22" s="1"/>
  <c r="R2" i="11"/>
  <c r="E7" i="14" s="1"/>
  <c r="K2" i="11"/>
  <c r="L2" i="11"/>
  <c r="D7" i="14" s="1"/>
  <c r="C7" i="14"/>
  <c r="K60" i="6" l="1"/>
  <c r="I60" i="6"/>
  <c r="G61" i="6"/>
  <c r="N60" i="6"/>
  <c r="H60" i="6"/>
  <c r="J60" i="6"/>
  <c r="M60" i="6"/>
  <c r="L60" i="6"/>
  <c r="C53" i="22"/>
  <c r="D53" i="22" s="1"/>
  <c r="E53" i="22" s="1"/>
  <c r="K61" i="6" l="1"/>
  <c r="H61" i="6"/>
  <c r="I14" i="6"/>
  <c r="J14" i="6"/>
  <c r="G62" i="6"/>
  <c r="M61" i="6"/>
  <c r="K14" i="6"/>
  <c r="N14" i="6"/>
  <c r="J61" i="6"/>
  <c r="I61" i="6"/>
  <c r="L14" i="6"/>
  <c r="H14" i="6"/>
  <c r="L61" i="6"/>
  <c r="N61" i="6"/>
  <c r="M14" i="6"/>
  <c r="C54" i="22"/>
  <c r="D54" i="22" s="1"/>
  <c r="E54" i="22" s="1"/>
  <c r="K62" i="6" l="1"/>
  <c r="I62" i="6"/>
  <c r="G63" i="6"/>
  <c r="N62" i="6"/>
  <c r="L62" i="6"/>
  <c r="H62" i="6"/>
  <c r="J62" i="6"/>
  <c r="M62" i="6"/>
  <c r="C55" i="22"/>
  <c r="D55" i="22" s="1"/>
  <c r="E55" i="22" s="1"/>
  <c r="K63" i="6" l="1"/>
  <c r="H63" i="6"/>
  <c r="M63" i="6"/>
  <c r="I63" i="6"/>
  <c r="L63" i="6"/>
  <c r="G64" i="6"/>
  <c r="J63" i="6"/>
  <c r="N63" i="6"/>
  <c r="C56" i="22"/>
  <c r="D56" i="22" s="1"/>
  <c r="E56" i="22" s="1"/>
  <c r="G65" i="6" l="1"/>
  <c r="N64" i="6"/>
  <c r="H64" i="6"/>
  <c r="L64" i="6"/>
  <c r="I64" i="6"/>
  <c r="J64" i="6"/>
  <c r="M64" i="6"/>
  <c r="K64" i="6"/>
  <c r="C57" i="22"/>
  <c r="D57" i="22" s="1"/>
  <c r="E57" i="22" s="1"/>
  <c r="K65" i="6" l="1"/>
  <c r="H65" i="6"/>
  <c r="M65" i="6"/>
  <c r="J65" i="6"/>
  <c r="G66" i="6"/>
  <c r="I65" i="6"/>
  <c r="N65" i="6"/>
  <c r="L65" i="6"/>
  <c r="C58" i="22"/>
  <c r="D58" i="22" s="1"/>
  <c r="E58" i="22" s="1"/>
  <c r="K66" i="6" l="1"/>
  <c r="N66" i="6"/>
  <c r="G67" i="6"/>
  <c r="M66" i="6"/>
  <c r="L66" i="6"/>
  <c r="J66" i="6"/>
  <c r="I66" i="6"/>
  <c r="H66" i="6"/>
  <c r="C59" i="22"/>
  <c r="D59" i="22" s="1"/>
  <c r="E59" i="22" s="1"/>
  <c r="K67" i="6" l="1"/>
  <c r="H67" i="6"/>
  <c r="M67" i="6"/>
  <c r="I67" i="6"/>
  <c r="G68" i="6"/>
  <c r="J67" i="6"/>
  <c r="N67" i="6"/>
  <c r="L67" i="6"/>
  <c r="C60" i="22"/>
  <c r="D60" i="22" s="1"/>
  <c r="E60" i="22" s="1"/>
  <c r="K68" i="6" l="1"/>
  <c r="N68" i="6"/>
  <c r="J68" i="6"/>
  <c r="L68" i="6"/>
  <c r="M68" i="6"/>
  <c r="G69" i="6"/>
  <c r="H68" i="6"/>
  <c r="I68" i="6"/>
  <c r="C61" i="22"/>
  <c r="D61" i="22" s="1"/>
  <c r="E61" i="22" s="1"/>
  <c r="K69" i="6" l="1"/>
  <c r="H69" i="6"/>
  <c r="J69" i="6"/>
  <c r="G70" i="6"/>
  <c r="M69" i="6"/>
  <c r="I69" i="6"/>
  <c r="N69" i="6"/>
  <c r="L69" i="6"/>
  <c r="C62" i="22"/>
  <c r="D62" i="22" s="1"/>
  <c r="E62" i="22" s="1"/>
  <c r="K70" i="6" l="1"/>
  <c r="N70" i="6"/>
  <c r="H70" i="6"/>
  <c r="G71" i="6"/>
  <c r="J70" i="6"/>
  <c r="M70" i="6"/>
  <c r="L70" i="6"/>
  <c r="I70" i="6"/>
  <c r="C63" i="22"/>
  <c r="D63" i="22" s="1"/>
  <c r="E63" i="22" s="1"/>
  <c r="K71" i="6" l="1"/>
  <c r="M71" i="6"/>
  <c r="G72" i="6"/>
  <c r="L71" i="6"/>
  <c r="N71" i="6"/>
  <c r="J71" i="6"/>
  <c r="I71" i="6"/>
  <c r="H71" i="6"/>
  <c r="C64" i="22"/>
  <c r="D64" i="22" s="1"/>
  <c r="E64" i="22" s="1"/>
  <c r="H72" i="6" l="1"/>
  <c r="N72" i="6"/>
  <c r="I72" i="6"/>
  <c r="K72" i="6"/>
  <c r="M72" i="6"/>
  <c r="L72" i="6"/>
  <c r="J72" i="6"/>
  <c r="G73" i="6"/>
  <c r="C65" i="22"/>
  <c r="D65" i="22" s="1"/>
  <c r="E65" i="22" s="1"/>
  <c r="L73" i="6" l="1"/>
  <c r="N73" i="6"/>
  <c r="K73" i="6"/>
  <c r="G74" i="6"/>
  <c r="J73" i="6"/>
  <c r="I73" i="6"/>
  <c r="H73" i="6"/>
  <c r="M73" i="6"/>
  <c r="C66" i="22"/>
  <c r="D66" i="22" s="1"/>
  <c r="E66" i="22" s="1"/>
  <c r="L74" i="6" l="1"/>
  <c r="N74" i="6"/>
  <c r="J74" i="6"/>
  <c r="I74" i="6"/>
  <c r="K74" i="6"/>
  <c r="M74" i="6"/>
  <c r="G75" i="6"/>
  <c r="H74" i="6"/>
  <c r="C67" i="22"/>
  <c r="D67" i="22" s="1"/>
  <c r="E67" i="22" s="1"/>
  <c r="L75" i="6" l="1"/>
  <c r="N75" i="6"/>
  <c r="I75" i="6"/>
  <c r="K75" i="6"/>
  <c r="M75" i="6"/>
  <c r="G76" i="6"/>
  <c r="H75" i="6"/>
  <c r="J75" i="6"/>
  <c r="C68" i="22"/>
  <c r="D68" i="22" s="1"/>
  <c r="E68" i="22" s="1"/>
  <c r="L76" i="6" l="1"/>
  <c r="N76" i="6"/>
  <c r="I76" i="6"/>
  <c r="K76" i="6"/>
  <c r="M76" i="6"/>
  <c r="H76" i="6"/>
  <c r="J76" i="6"/>
  <c r="C69" i="22"/>
  <c r="D69" i="22" s="1"/>
  <c r="E69" i="22" s="1"/>
  <c r="C70" i="22" l="1"/>
  <c r="D70" i="22" s="1"/>
  <c r="E70" i="22" s="1"/>
  <c r="C71" i="22" l="1"/>
  <c r="D71" i="22" s="1"/>
  <c r="E71" i="22" s="1"/>
  <c r="C72" i="22" l="1"/>
  <c r="D72" i="22" s="1"/>
  <c r="E72" i="22" s="1"/>
  <c r="C73" i="22" l="1"/>
  <c r="D73" i="22" s="1"/>
  <c r="E73" i="22" s="1"/>
  <c r="C74" i="22" l="1"/>
  <c r="D74" i="22" s="1"/>
  <c r="E74" i="22" s="1"/>
  <c r="C75" i="22" l="1"/>
  <c r="D75" i="22" s="1"/>
  <c r="E75" i="22"/>
  <c r="C76" i="22" l="1"/>
  <c r="D76" i="22" s="1"/>
  <c r="E76" i="22" s="1"/>
  <c r="C77" i="22" l="1"/>
  <c r="D77" i="22" s="1"/>
  <c r="E77" i="22" s="1"/>
  <c r="C78" i="22" l="1"/>
  <c r="D78" i="22" s="1"/>
  <c r="E78" i="22" s="1"/>
  <c r="C79" i="22" l="1"/>
  <c r="D79" i="22" s="1"/>
  <c r="E79" i="22" s="1"/>
  <c r="C80" i="22" l="1"/>
  <c r="D80" i="22" s="1"/>
  <c r="E80" i="22" s="1"/>
  <c r="C81" i="22" l="1"/>
  <c r="D81" i="22" s="1"/>
  <c r="E81" i="22" s="1"/>
  <c r="C82" i="22" l="1"/>
  <c r="D82" i="22" s="1"/>
  <c r="E82" i="22" s="1"/>
  <c r="C83" i="22" l="1"/>
  <c r="D83" i="22" s="1"/>
  <c r="E83" i="22" s="1"/>
  <c r="C84" i="22" l="1"/>
  <c r="D84" i="22" s="1"/>
  <c r="E84" i="22" s="1"/>
  <c r="C85" i="22" l="1"/>
  <c r="D85" i="22" s="1"/>
  <c r="E85" i="22" s="1"/>
  <c r="C86" i="22" l="1"/>
  <c r="D86" i="22" s="1"/>
  <c r="E86" i="22" s="1"/>
  <c r="C87" i="22" l="1"/>
  <c r="D87" i="22" s="1"/>
  <c r="E87" i="22" s="1"/>
  <c r="C88" i="22" l="1"/>
  <c r="D88" i="22" s="1"/>
  <c r="E88" i="22" s="1"/>
  <c r="C89" i="22" l="1"/>
  <c r="D89" i="22" s="1"/>
  <c r="E89" i="22" s="1"/>
  <c r="C90" i="22" l="1"/>
  <c r="D90" i="22" s="1"/>
  <c r="E90" i="22" s="1"/>
  <c r="C91" i="22" l="1"/>
  <c r="D91" i="22" s="1"/>
  <c r="E91" i="22"/>
  <c r="C92" i="22" l="1"/>
  <c r="D92" i="22" s="1"/>
  <c r="E92" i="22" s="1"/>
  <c r="C93" i="22" l="1"/>
  <c r="D93" i="22" s="1"/>
  <c r="E93" i="22" s="1"/>
  <c r="C94" i="22" l="1"/>
  <c r="D94" i="22" s="1"/>
  <c r="E94" i="22"/>
  <c r="C95" i="22" l="1"/>
  <c r="D95" i="22" s="1"/>
  <c r="E95" i="22" s="1"/>
  <c r="C96" i="22" l="1"/>
  <c r="D96" i="22" s="1"/>
  <c r="E96" i="22" s="1"/>
  <c r="C97" i="22" l="1"/>
  <c r="D97" i="22" s="1"/>
  <c r="E97" i="22" s="1"/>
  <c r="C98" i="22" l="1"/>
  <c r="D98" i="22" s="1"/>
  <c r="E98" i="22" s="1"/>
  <c r="C99" i="22" l="1"/>
  <c r="D99" i="22" s="1"/>
  <c r="E99" i="22" s="1"/>
  <c r="C100" i="22" l="1"/>
  <c r="D100" i="22" s="1"/>
  <c r="E100" i="22" s="1"/>
  <c r="G15" i="8"/>
  <c r="G12" i="8"/>
  <c r="G14" i="8"/>
  <c r="G10" i="8"/>
  <c r="G9" i="8"/>
  <c r="G11" i="8"/>
  <c r="G13" i="8"/>
  <c r="C101" i="22" l="1"/>
  <c r="D101" i="22" s="1"/>
  <c r="E101" i="22" s="1"/>
  <c r="C102" i="22" l="1"/>
  <c r="D102" i="22" s="1"/>
  <c r="E102" i="22" s="1"/>
  <c r="C103" i="22" l="1"/>
  <c r="D103" i="22" s="1"/>
  <c r="E103" i="22"/>
  <c r="C104" i="22" l="1"/>
  <c r="D104" i="22" s="1"/>
  <c r="E104" i="22" s="1"/>
  <c r="C105" i="22" l="1"/>
  <c r="D105" i="22" s="1"/>
  <c r="E105" i="22" s="1"/>
  <c r="C106" i="22" l="1"/>
  <c r="D106" i="22" s="1"/>
  <c r="E106" i="22" s="1"/>
  <c r="C107" i="22" l="1"/>
  <c r="D107" i="22" s="1"/>
  <c r="E107" i="22" s="1"/>
  <c r="C108" i="22" l="1"/>
  <c r="D108" i="22" s="1"/>
  <c r="E108" i="22" s="1"/>
  <c r="D9" i="9"/>
  <c r="D10" i="9" s="1"/>
  <c r="E9" i="9"/>
  <c r="E10" i="9" s="1"/>
  <c r="F9" i="9"/>
  <c r="G9" i="9"/>
  <c r="H9" i="9"/>
  <c r="C109" i="22" l="1"/>
  <c r="D109" i="22" s="1"/>
  <c r="E109" i="22" s="1"/>
  <c r="E68" i="14"/>
  <c r="D68" i="14"/>
  <c r="C68" i="14"/>
  <c r="G10" i="9"/>
  <c r="F10" i="9"/>
  <c r="H10" i="9"/>
  <c r="H18" i="3"/>
  <c r="G18" i="3"/>
  <c r="F18" i="3"/>
  <c r="E18" i="3"/>
  <c r="D18" i="3"/>
  <c r="C18" i="3"/>
  <c r="A17" i="6"/>
  <c r="A18" i="6" s="1"/>
  <c r="A19" i="6" s="1"/>
  <c r="E9" i="6"/>
  <c r="E8" i="6"/>
  <c r="C18" i="6" l="1"/>
  <c r="C17" i="6"/>
  <c r="C110" i="22"/>
  <c r="D110" i="22" s="1"/>
  <c r="E110" i="22" s="1"/>
  <c r="I10" i="9"/>
  <c r="E12" i="6" s="1"/>
  <c r="I18" i="3"/>
  <c r="A20" i="6"/>
  <c r="B19" i="6"/>
  <c r="B18" i="6"/>
  <c r="B17" i="6"/>
  <c r="C19" i="6"/>
  <c r="C111" i="22" l="1"/>
  <c r="D111" i="22" s="1"/>
  <c r="E111" i="22" s="1"/>
  <c r="J125" i="13"/>
  <c r="D17" i="6"/>
  <c r="J123" i="13"/>
  <c r="J124" i="13"/>
  <c r="D25" i="18"/>
  <c r="E25" i="18" s="1"/>
  <c r="L24" i="18"/>
  <c r="M24" i="18" s="1"/>
  <c r="D24" i="18"/>
  <c r="E24" i="18" s="1"/>
  <c r="D26" i="18"/>
  <c r="E26" i="18" s="1"/>
  <c r="L25" i="18"/>
  <c r="L26" i="18"/>
  <c r="T25" i="18"/>
  <c r="U25" i="18" s="1"/>
  <c r="T23" i="18"/>
  <c r="T26" i="18"/>
  <c r="T24" i="18"/>
  <c r="U24" i="18" s="1"/>
  <c r="E11" i="6"/>
  <c r="B20" i="6"/>
  <c r="A21" i="6"/>
  <c r="C20" i="6"/>
  <c r="K57" i="18" l="1"/>
  <c r="U23" i="18"/>
  <c r="S57" i="18"/>
  <c r="U26" i="18"/>
  <c r="S58" i="18"/>
  <c r="M26" i="18"/>
  <c r="K58" i="18"/>
  <c r="C57" i="18"/>
  <c r="C63" i="18"/>
  <c r="D72" i="18" s="1"/>
  <c r="C112" i="22"/>
  <c r="D112" i="22" s="1"/>
  <c r="E112" i="22" s="1"/>
  <c r="J10" i="20"/>
  <c r="F10" i="20"/>
  <c r="F11" i="20"/>
  <c r="D11" i="14" s="1"/>
  <c r="D25" i="14" s="1"/>
  <c r="J11" i="20"/>
  <c r="E11" i="14" s="1"/>
  <c r="E25" i="14" s="1"/>
  <c r="K125" i="13"/>
  <c r="M125" i="13"/>
  <c r="E23" i="18"/>
  <c r="K124" i="13"/>
  <c r="M124" i="13"/>
  <c r="K123" i="13"/>
  <c r="M123" i="13"/>
  <c r="M23" i="18"/>
  <c r="E30" i="18"/>
  <c r="F30" i="18" s="1"/>
  <c r="U30" i="18"/>
  <c r="V30" i="18" s="1"/>
  <c r="M30" i="18"/>
  <c r="N30" i="18" s="1"/>
  <c r="S63" i="18"/>
  <c r="K63" i="18"/>
  <c r="C58" i="18"/>
  <c r="A22" i="6"/>
  <c r="B21" i="6"/>
  <c r="C21" i="6"/>
  <c r="K59" i="18" l="1"/>
  <c r="S59" i="18"/>
  <c r="U67" i="18" s="1"/>
  <c r="U68" i="18" s="1"/>
  <c r="C113" i="22"/>
  <c r="D113" i="22" s="1"/>
  <c r="E113" i="22" s="1"/>
  <c r="E35" i="11"/>
  <c r="K35" i="11" s="1"/>
  <c r="C59" i="18"/>
  <c r="D67" i="18" s="1"/>
  <c r="D68" i="18" s="1"/>
  <c r="C30" i="18"/>
  <c r="D30" i="18" s="1"/>
  <c r="G72" i="18"/>
  <c r="H72" i="18"/>
  <c r="E72" i="18"/>
  <c r="F72" i="18"/>
  <c r="C69" i="14" s="1"/>
  <c r="S30" i="18"/>
  <c r="T30" i="18" s="1"/>
  <c r="W72" i="18"/>
  <c r="U72" i="18"/>
  <c r="V72" i="18"/>
  <c r="E69" i="14" s="1"/>
  <c r="X72" i="18"/>
  <c r="T72" i="18"/>
  <c r="N72" i="18"/>
  <c r="D69" i="14" s="1"/>
  <c r="P72" i="18"/>
  <c r="M72" i="18"/>
  <c r="L72" i="18"/>
  <c r="O72" i="18"/>
  <c r="K30" i="18"/>
  <c r="L30" i="18" s="1"/>
  <c r="C22" i="6"/>
  <c r="B22" i="6"/>
  <c r="A23" i="6"/>
  <c r="Q35" i="11" l="1"/>
  <c r="C114" i="22"/>
  <c r="D114" i="22" s="1"/>
  <c r="E114" i="22" s="1"/>
  <c r="Q72" i="18"/>
  <c r="V67" i="18"/>
  <c r="V68" i="18" s="1"/>
  <c r="W67" i="18"/>
  <c r="W68" i="18" s="1"/>
  <c r="T67" i="18"/>
  <c r="T68" i="18" s="1"/>
  <c r="X67" i="18"/>
  <c r="X68" i="18" s="1"/>
  <c r="L73" i="18"/>
  <c r="N73" i="18"/>
  <c r="N74" i="18"/>
  <c r="X74" i="18"/>
  <c r="X73" i="18"/>
  <c r="I72" i="18"/>
  <c r="E73" i="18"/>
  <c r="E74" i="18"/>
  <c r="L74" i="18"/>
  <c r="G67" i="18"/>
  <c r="G68" i="18" s="1"/>
  <c r="F67" i="18"/>
  <c r="F68" i="18" s="1"/>
  <c r="H67" i="18"/>
  <c r="H68" i="18" s="1"/>
  <c r="E67" i="18"/>
  <c r="E68" i="18" s="1"/>
  <c r="V74" i="18"/>
  <c r="V73" i="18"/>
  <c r="H73" i="18"/>
  <c r="H74" i="18"/>
  <c r="O74" i="18"/>
  <c r="O73" i="18"/>
  <c r="M74" i="18"/>
  <c r="M73" i="18"/>
  <c r="M67" i="18"/>
  <c r="M68" i="18" s="1"/>
  <c r="P67" i="18"/>
  <c r="P68" i="18" s="1"/>
  <c r="L67" i="18"/>
  <c r="N67" i="18"/>
  <c r="N68" i="18" s="1"/>
  <c r="O67" i="18"/>
  <c r="O68" i="18" s="1"/>
  <c r="U74" i="18"/>
  <c r="U73" i="18"/>
  <c r="D74" i="18"/>
  <c r="D73" i="18"/>
  <c r="P73" i="18"/>
  <c r="P74" i="18"/>
  <c r="T73" i="18"/>
  <c r="T74" i="18"/>
  <c r="Y72" i="18"/>
  <c r="W74" i="18"/>
  <c r="W73" i="18"/>
  <c r="F73" i="18"/>
  <c r="F74" i="18"/>
  <c r="G74" i="18"/>
  <c r="G73" i="18"/>
  <c r="A24" i="6"/>
  <c r="B23" i="6"/>
  <c r="C23" i="6"/>
  <c r="C115" i="22" l="1"/>
  <c r="D115" i="22" s="1"/>
  <c r="E115" i="22" s="1"/>
  <c r="Y68" i="18"/>
  <c r="Y67" i="18"/>
  <c r="C9" i="14"/>
  <c r="Q73" i="18"/>
  <c r="I73" i="18"/>
  <c r="C23" i="14" s="1"/>
  <c r="I67" i="18"/>
  <c r="I68" i="18"/>
  <c r="Y74" i="18"/>
  <c r="L68" i="18"/>
  <c r="Q68" i="18" s="1"/>
  <c r="Q67" i="18"/>
  <c r="Y73" i="18"/>
  <c r="I74" i="18"/>
  <c r="C30" i="14" s="1"/>
  <c r="Q74" i="18"/>
  <c r="B24" i="6"/>
  <c r="A25" i="6"/>
  <c r="C24" i="6"/>
  <c r="C116" i="22" l="1"/>
  <c r="D116" i="22" s="1"/>
  <c r="E116" i="22" s="1"/>
  <c r="A26" i="6"/>
  <c r="B25" i="6"/>
  <c r="C25" i="6"/>
  <c r="C117" i="22" l="1"/>
  <c r="D117" i="22" s="1"/>
  <c r="E117" i="22" s="1"/>
  <c r="A27" i="6"/>
  <c r="C26" i="6"/>
  <c r="B26" i="6"/>
  <c r="C118" i="22" l="1"/>
  <c r="D118" i="22" s="1"/>
  <c r="E118" i="22" s="1"/>
  <c r="A28" i="6"/>
  <c r="B27" i="6"/>
  <c r="C27" i="6"/>
  <c r="C119" i="22" l="1"/>
  <c r="D119" i="22" s="1"/>
  <c r="E119" i="22" s="1"/>
  <c r="B28" i="6"/>
  <c r="A29" i="6"/>
  <c r="C28" i="6"/>
  <c r="C120" i="22" l="1"/>
  <c r="D120" i="22" s="1"/>
  <c r="E120" i="22" s="1"/>
  <c r="B29" i="6"/>
  <c r="A30" i="6"/>
  <c r="C29" i="6"/>
  <c r="C121" i="22" l="1"/>
  <c r="D121" i="22" s="1"/>
  <c r="E121" i="22" s="1"/>
  <c r="A31" i="6"/>
  <c r="C30" i="6"/>
  <c r="B30" i="6"/>
  <c r="C122" i="22" l="1"/>
  <c r="D122" i="22" s="1"/>
  <c r="E122" i="22" s="1"/>
  <c r="A32" i="6"/>
  <c r="C31" i="6"/>
  <c r="B31" i="6"/>
  <c r="C123" i="22" l="1"/>
  <c r="D123" i="22" s="1"/>
  <c r="E123" i="22" s="1"/>
  <c r="B32" i="6"/>
  <c r="A33" i="6"/>
  <c r="C32" i="6"/>
  <c r="C124" i="22" l="1"/>
  <c r="D124" i="22" s="1"/>
  <c r="E124" i="22" s="1"/>
  <c r="A34" i="6"/>
  <c r="B33" i="6"/>
  <c r="C33" i="6"/>
  <c r="C125" i="22" l="1"/>
  <c r="D125" i="22" s="1"/>
  <c r="E125" i="22" s="1"/>
  <c r="B34" i="6"/>
  <c r="A35" i="6"/>
  <c r="C34" i="6"/>
  <c r="C126" i="22" l="1"/>
  <c r="D126" i="22" s="1"/>
  <c r="E126" i="22" s="1"/>
  <c r="B35" i="6"/>
  <c r="A36" i="6"/>
  <c r="C35" i="6"/>
  <c r="C127" i="22" l="1"/>
  <c r="D127" i="22" s="1"/>
  <c r="E127" i="22" s="1"/>
  <c r="B36" i="6"/>
  <c r="C36" i="6"/>
  <c r="A37" i="6"/>
  <c r="C128" i="22" l="1"/>
  <c r="D128" i="22" s="1"/>
  <c r="E128" i="22" s="1"/>
  <c r="C37" i="6"/>
  <c r="A38" i="6"/>
  <c r="B37" i="6"/>
  <c r="C129" i="22" l="1"/>
  <c r="D129" i="22" s="1"/>
  <c r="E129" i="22" s="1"/>
  <c r="B38" i="6"/>
  <c r="A39" i="6"/>
  <c r="C38" i="6"/>
  <c r="C130" i="22" l="1"/>
  <c r="D130" i="22" s="1"/>
  <c r="E130" i="22" s="1"/>
  <c r="A40" i="6"/>
  <c r="B39" i="6"/>
  <c r="C39" i="6"/>
  <c r="C131" i="22" l="1"/>
  <c r="D131" i="22" s="1"/>
  <c r="E131" i="22" s="1"/>
  <c r="B40" i="6"/>
  <c r="A41" i="6"/>
  <c r="C40" i="6"/>
  <c r="C132" i="22" l="1"/>
  <c r="D132" i="22" s="1"/>
  <c r="E132" i="22" s="1"/>
  <c r="A42" i="6"/>
  <c r="B41" i="6"/>
  <c r="C41" i="6"/>
  <c r="C133" i="22" l="1"/>
  <c r="D133" i="22" s="1"/>
  <c r="E133" i="22" s="1"/>
  <c r="B42" i="6"/>
  <c r="A43" i="6"/>
  <c r="C42" i="6"/>
  <c r="C134" i="22" l="1"/>
  <c r="D134" i="22" s="1"/>
  <c r="E134" i="22" s="1"/>
  <c r="B43" i="6"/>
  <c r="A44" i="6"/>
  <c r="C43" i="6"/>
  <c r="C135" i="22" l="1"/>
  <c r="D135" i="22" s="1"/>
  <c r="E135" i="22" s="1"/>
  <c r="B44" i="6"/>
  <c r="C44" i="6"/>
  <c r="A45" i="6"/>
  <c r="C136" i="22" l="1"/>
  <c r="D136" i="22" s="1"/>
  <c r="E136" i="22" s="1"/>
  <c r="C45" i="6"/>
  <c r="B45" i="6"/>
  <c r="A46" i="6"/>
  <c r="C137" i="22" l="1"/>
  <c r="D137" i="22" s="1"/>
  <c r="E137" i="22" s="1"/>
  <c r="B46" i="6"/>
  <c r="A47" i="6"/>
  <c r="C46" i="6"/>
  <c r="C138" i="22" l="1"/>
  <c r="D138" i="22" s="1"/>
  <c r="E138" i="22" s="1"/>
  <c r="A48" i="6"/>
  <c r="C47" i="6"/>
  <c r="B47" i="6"/>
  <c r="C139" i="22" l="1"/>
  <c r="D139" i="22" s="1"/>
  <c r="E139" i="22" s="1"/>
  <c r="B48" i="6"/>
  <c r="A49" i="6"/>
  <c r="C48" i="6"/>
  <c r="C140" i="22" l="1"/>
  <c r="D140" i="22" s="1"/>
  <c r="E140" i="22" s="1"/>
  <c r="A50" i="6"/>
  <c r="B49" i="6"/>
  <c r="C49" i="6"/>
  <c r="C141" i="22" l="1"/>
  <c r="D141" i="22" s="1"/>
  <c r="E141" i="22"/>
  <c r="B50" i="6"/>
  <c r="A51" i="6"/>
  <c r="C50" i="6"/>
  <c r="C142" i="22" l="1"/>
  <c r="D142" i="22" s="1"/>
  <c r="E142" i="22" s="1"/>
  <c r="B51" i="6"/>
  <c r="A52" i="6"/>
  <c r="C51" i="6"/>
  <c r="C143" i="22" l="1"/>
  <c r="D143" i="22" s="1"/>
  <c r="E143" i="22" s="1"/>
  <c r="B52" i="6"/>
  <c r="C52" i="6"/>
  <c r="A53" i="6"/>
  <c r="C144" i="22" l="1"/>
  <c r="D144" i="22" s="1"/>
  <c r="E144" i="22" s="1"/>
  <c r="C53" i="6"/>
  <c r="A54" i="6"/>
  <c r="B53" i="6"/>
  <c r="C145" i="22" l="1"/>
  <c r="D145" i="22" s="1"/>
  <c r="E145" i="22" s="1"/>
  <c r="B54" i="6"/>
  <c r="A55" i="6"/>
  <c r="C54" i="6"/>
  <c r="C146" i="22" l="1"/>
  <c r="D146" i="22" s="1"/>
  <c r="E146" i="22" s="1"/>
  <c r="C55" i="6"/>
  <c r="A56" i="6"/>
  <c r="B55" i="6"/>
  <c r="C147" i="22" l="1"/>
  <c r="D147" i="22" s="1"/>
  <c r="E147" i="22" s="1"/>
  <c r="B56" i="6"/>
  <c r="A57" i="6"/>
  <c r="C56" i="6"/>
  <c r="C148" i="22" l="1"/>
  <c r="D148" i="22" s="1"/>
  <c r="E148" i="22" s="1"/>
  <c r="A58" i="6"/>
  <c r="B57" i="6"/>
  <c r="C57" i="6"/>
  <c r="C149" i="22" l="1"/>
  <c r="D149" i="22" s="1"/>
  <c r="E149" i="22" s="1"/>
  <c r="B58" i="6"/>
  <c r="A59" i="6"/>
  <c r="C58" i="6"/>
  <c r="C150" i="22" l="1"/>
  <c r="D150" i="22" s="1"/>
  <c r="E150" i="22" s="1"/>
  <c r="B59" i="6"/>
  <c r="A60" i="6"/>
  <c r="C59" i="6"/>
  <c r="C151" i="22" l="1"/>
  <c r="D151" i="22" s="1"/>
  <c r="E151" i="22" s="1"/>
  <c r="B60" i="6"/>
  <c r="C60" i="6"/>
  <c r="A61" i="6"/>
  <c r="C152" i="22" l="1"/>
  <c r="D152" i="22" s="1"/>
  <c r="E152" i="22" s="1"/>
  <c r="C61" i="6"/>
  <c r="B61" i="6"/>
  <c r="A62" i="6"/>
  <c r="C153" i="22" l="1"/>
  <c r="D153" i="22" s="1"/>
  <c r="E153" i="22" s="1"/>
  <c r="B62" i="6"/>
  <c r="C62" i="6"/>
  <c r="A63" i="6"/>
  <c r="C154" i="22" l="1"/>
  <c r="D154" i="22" s="1"/>
  <c r="E154" i="22" s="1"/>
  <c r="C63" i="6"/>
  <c r="A64" i="6"/>
  <c r="B63" i="6"/>
  <c r="C155" i="22" l="1"/>
  <c r="D155" i="22" s="1"/>
  <c r="E155" i="22" s="1"/>
  <c r="B64" i="6"/>
  <c r="A65" i="6"/>
  <c r="C64" i="6"/>
  <c r="C156" i="22" l="1"/>
  <c r="D156" i="22" s="1"/>
  <c r="E156" i="22" s="1"/>
  <c r="A66" i="6"/>
  <c r="B65" i="6"/>
  <c r="C65" i="6"/>
  <c r="C157" i="22" l="1"/>
  <c r="D157" i="22" s="1"/>
  <c r="E157" i="22" s="1"/>
  <c r="B66" i="6"/>
  <c r="A67" i="6"/>
  <c r="C66" i="6"/>
  <c r="C158" i="22" l="1"/>
  <c r="D158" i="22" s="1"/>
  <c r="E158" i="22" s="1"/>
  <c r="B67" i="6"/>
  <c r="A68" i="6"/>
  <c r="C67" i="6"/>
  <c r="C159" i="22" l="1"/>
  <c r="D159" i="22" s="1"/>
  <c r="E159" i="22" s="1"/>
  <c r="B68" i="6"/>
  <c r="C68" i="6"/>
  <c r="A69" i="6"/>
  <c r="C160" i="22" l="1"/>
  <c r="D160" i="22" s="1"/>
  <c r="E160" i="22" s="1"/>
  <c r="B69" i="6"/>
  <c r="A70" i="6"/>
  <c r="C69" i="6"/>
  <c r="C161" i="22" l="1"/>
  <c r="D161" i="22" s="1"/>
  <c r="E161" i="22" s="1"/>
  <c r="B70" i="6"/>
  <c r="C70" i="6"/>
  <c r="A71" i="6"/>
  <c r="C162" i="22" l="1"/>
  <c r="D162" i="22" s="1"/>
  <c r="E162" i="22" s="1"/>
  <c r="C71" i="6"/>
  <c r="B71" i="6"/>
  <c r="A72" i="6"/>
  <c r="C163" i="22" l="1"/>
  <c r="D163" i="22" s="1"/>
  <c r="E163" i="22" s="1"/>
  <c r="A73" i="6"/>
  <c r="B72" i="6"/>
  <c r="C72" i="6"/>
  <c r="C164" i="22" l="1"/>
  <c r="D164" i="22" s="1"/>
  <c r="E164" i="22" s="1"/>
  <c r="A74" i="6"/>
  <c r="B73" i="6"/>
  <c r="C73" i="6"/>
  <c r="C165" i="22" l="1"/>
  <c r="D165" i="22" s="1"/>
  <c r="E165" i="22"/>
  <c r="A75" i="6"/>
  <c r="B74" i="6"/>
  <c r="C74" i="6"/>
  <c r="C166" i="22" l="1"/>
  <c r="D166" i="22" s="1"/>
  <c r="E166" i="22" s="1"/>
  <c r="B75" i="6"/>
  <c r="A76" i="6"/>
  <c r="C75" i="6"/>
  <c r="C167" i="22" l="1"/>
  <c r="D167" i="22" s="1"/>
  <c r="E167" i="22" s="1"/>
  <c r="B76" i="6"/>
  <c r="C76" i="6"/>
  <c r="C168" i="22" l="1"/>
  <c r="D168" i="22" s="1"/>
  <c r="E168" i="22" s="1"/>
  <c r="I16" i="3"/>
  <c r="D11" i="3"/>
  <c r="C34" i="8" l="1"/>
  <c r="F47" i="18"/>
  <c r="F48" i="18"/>
  <c r="N48" i="18" s="1"/>
  <c r="V48" i="18" s="1"/>
  <c r="F50" i="18"/>
  <c r="N50" i="18" s="1"/>
  <c r="V50" i="18" s="1"/>
  <c r="F49" i="18"/>
  <c r="N49" i="18" s="1"/>
  <c r="V49" i="18" s="1"/>
  <c r="L128" i="13"/>
  <c r="C169" i="22"/>
  <c r="D169" i="22" s="1"/>
  <c r="E169" i="22" s="1"/>
  <c r="C24" i="9"/>
  <c r="J113" i="13"/>
  <c r="D24" i="9"/>
  <c r="J112" i="13"/>
  <c r="J102" i="13"/>
  <c r="J101" i="13"/>
  <c r="J96" i="13"/>
  <c r="J103" i="13"/>
  <c r="J95" i="13"/>
  <c r="L116" i="13"/>
  <c r="L115" i="13"/>
  <c r="C29" i="9"/>
  <c r="J117" i="13"/>
  <c r="J127" i="13"/>
  <c r="J116" i="13"/>
  <c r="J90" i="13"/>
  <c r="J115" i="13"/>
  <c r="J89" i="13"/>
  <c r="J126" i="13"/>
  <c r="J114" i="13"/>
  <c r="J91" i="13"/>
  <c r="L86" i="13"/>
  <c r="L101" i="13"/>
  <c r="L117" i="13"/>
  <c r="L83" i="13"/>
  <c r="L87" i="13"/>
  <c r="L85" i="13"/>
  <c r="L96" i="13"/>
  <c r="L90" i="13"/>
  <c r="L84" i="13"/>
  <c r="L91" i="13"/>
  <c r="L88" i="13"/>
  <c r="L95" i="13"/>
  <c r="L126" i="13"/>
  <c r="L127" i="13"/>
  <c r="D29" i="9"/>
  <c r="E29" i="9"/>
  <c r="H24" i="9"/>
  <c r="E24" i="9"/>
  <c r="F29" i="9"/>
  <c r="G24" i="9"/>
  <c r="G29" i="9"/>
  <c r="F24" i="9"/>
  <c r="H29" i="9"/>
  <c r="E10" i="6"/>
  <c r="N47" i="18" l="1"/>
  <c r="E51" i="18"/>
  <c r="D58" i="18" s="1"/>
  <c r="D59" i="18" s="1"/>
  <c r="D63" i="18" s="1"/>
  <c r="C170" i="22"/>
  <c r="D170" i="22" s="1"/>
  <c r="E170" i="22" s="1"/>
  <c r="M103" i="13"/>
  <c r="K103" i="13"/>
  <c r="M112" i="13"/>
  <c r="K112" i="13"/>
  <c r="M96" i="13"/>
  <c r="E28" i="11" s="1"/>
  <c r="K96" i="13"/>
  <c r="M101" i="13"/>
  <c r="K101" i="13"/>
  <c r="K113" i="13"/>
  <c r="M113" i="13"/>
  <c r="M95" i="13"/>
  <c r="K95" i="13"/>
  <c r="M102" i="13"/>
  <c r="K102" i="13"/>
  <c r="I24" i="9"/>
  <c r="C42" i="9" s="1"/>
  <c r="E42" i="9" s="1"/>
  <c r="K114" i="13"/>
  <c r="M114" i="13"/>
  <c r="K90" i="13"/>
  <c r="M90" i="13"/>
  <c r="K126" i="13"/>
  <c r="M126" i="13"/>
  <c r="K116" i="13"/>
  <c r="M116" i="13"/>
  <c r="K89" i="13"/>
  <c r="M89" i="13"/>
  <c r="K127" i="13"/>
  <c r="M127" i="13"/>
  <c r="K91" i="13"/>
  <c r="M91" i="13"/>
  <c r="K115" i="13"/>
  <c r="M115" i="13"/>
  <c r="K117" i="13"/>
  <c r="M117" i="13"/>
  <c r="L28" i="11"/>
  <c r="F28" i="11"/>
  <c r="R28" i="11"/>
  <c r="F27" i="11"/>
  <c r="L27" i="11"/>
  <c r="R27" i="11"/>
  <c r="I29" i="9"/>
  <c r="E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C31" i="14" l="1"/>
  <c r="C32" i="14" s="1"/>
  <c r="V47" i="18"/>
  <c r="U51" i="18" s="1"/>
  <c r="T58" i="18" s="1"/>
  <c r="M51" i="18"/>
  <c r="L58" i="18" s="1"/>
  <c r="C43" i="9"/>
  <c r="C48" i="9" s="1"/>
  <c r="C53" i="9" s="1"/>
  <c r="C171" i="22"/>
  <c r="D171" i="22" s="1"/>
  <c r="E171" i="22" s="1"/>
  <c r="K28" i="11"/>
  <c r="K3" i="11" s="1"/>
  <c r="Q28" i="11"/>
  <c r="Q3" i="11" s="1"/>
  <c r="E6" i="14" s="1"/>
  <c r="E20" i="14" s="1"/>
  <c r="E3" i="11"/>
  <c r="C6" i="14" s="1"/>
  <c r="C20" i="14" s="1"/>
  <c r="F3" i="11"/>
  <c r="C8" i="14" s="1"/>
  <c r="C58" i="14"/>
  <c r="C22" i="14" s="1"/>
  <c r="E58" i="14"/>
  <c r="E22" i="14" s="1"/>
  <c r="R3" i="11"/>
  <c r="E8" i="14" s="1"/>
  <c r="L3" i="11"/>
  <c r="D8" i="14" s="1"/>
  <c r="D58" i="14"/>
  <c r="D22" i="14" s="1"/>
  <c r="C10" i="14"/>
  <c r="C70" i="14"/>
  <c r="C73" i="14" s="1"/>
  <c r="C47" i="9"/>
  <c r="E47" i="9"/>
  <c r="E52" i="9" s="1"/>
  <c r="G42" i="9"/>
  <c r="G47" i="9" s="1"/>
  <c r="G52" i="9" s="1"/>
  <c r="E18" i="6"/>
  <c r="E19" i="6" s="1"/>
  <c r="E20" i="6" s="1"/>
  <c r="E21" i="6" s="1"/>
  <c r="E22" i="6" s="1"/>
  <c r="E23" i="6" s="1"/>
  <c r="E24" i="6" s="1"/>
  <c r="E25" i="6" s="1"/>
  <c r="E26" i="6" s="1"/>
  <c r="E27" i="6" s="1"/>
  <c r="E28" i="6" s="1"/>
  <c r="E29" i="6" s="1"/>
  <c r="E30" i="6" s="1"/>
  <c r="E31" i="6" s="1"/>
  <c r="E32" i="6" s="1"/>
  <c r="E33" i="6" s="1"/>
  <c r="E34" i="6" s="1"/>
  <c r="E35" i="6" s="1"/>
  <c r="E36" i="6" s="1"/>
  <c r="E37" i="6" s="1"/>
  <c r="E38" i="6" s="1"/>
  <c r="E39" i="6" s="1"/>
  <c r="E40" i="6" s="1"/>
  <c r="E41" i="6" s="1"/>
  <c r="E42" i="6" s="1"/>
  <c r="E43" i="6" s="1"/>
  <c r="E44" i="6" s="1"/>
  <c r="E45" i="6" s="1"/>
  <c r="E46" i="6" s="1"/>
  <c r="E47" i="6" s="1"/>
  <c r="E48" i="6" s="1"/>
  <c r="E49" i="6" s="1"/>
  <c r="E50" i="6" s="1"/>
  <c r="E51" i="6" s="1"/>
  <c r="E52" i="6" s="1"/>
  <c r="E53" i="6" s="1"/>
  <c r="E54" i="6" s="1"/>
  <c r="E55" i="6" s="1"/>
  <c r="E56" i="6" s="1"/>
  <c r="E14" i="6" s="1"/>
  <c r="G43" i="9" l="1"/>
  <c r="G48" i="9" s="1"/>
  <c r="G53" i="9" s="1"/>
  <c r="E43" i="9"/>
  <c r="E48" i="9" s="1"/>
  <c r="E53" i="9" s="1"/>
  <c r="L59" i="18"/>
  <c r="L63" i="18" s="1"/>
  <c r="D31" i="14"/>
  <c r="C5" i="14"/>
  <c r="C52" i="9"/>
  <c r="T59" i="18"/>
  <c r="T63" i="18" s="1"/>
  <c r="E31" i="14"/>
  <c r="C19" i="14"/>
  <c r="C172" i="22"/>
  <c r="D172" i="22" s="1"/>
  <c r="E172" i="22" s="1"/>
  <c r="D5" i="14"/>
  <c r="D6" i="14"/>
  <c r="C13" i="14"/>
  <c r="E5" i="14"/>
  <c r="C14" i="9"/>
  <c r="E57" i="6"/>
  <c r="E58" i="6" s="1"/>
  <c r="E59" i="6" s="1"/>
  <c r="E60" i="6" s="1"/>
  <c r="E61" i="6" s="1"/>
  <c r="E62" i="6" s="1"/>
  <c r="E63" i="6" s="1"/>
  <c r="E64" i="6" s="1"/>
  <c r="E65" i="6" s="1"/>
  <c r="E66" i="6" s="1"/>
  <c r="E67" i="6" s="1"/>
  <c r="E68" i="6" s="1"/>
  <c r="E69" i="6" s="1"/>
  <c r="E70" i="6" s="1"/>
  <c r="E71" i="6" s="1"/>
  <c r="E72" i="6" s="1"/>
  <c r="E73" i="6" s="1"/>
  <c r="E74" i="6" s="1"/>
  <c r="E75" i="6" s="1"/>
  <c r="E76" i="6" s="1"/>
  <c r="E10" i="14" l="1"/>
  <c r="E70" i="14"/>
  <c r="E73" i="14" s="1"/>
  <c r="D10" i="14"/>
  <c r="D70" i="14"/>
  <c r="D73" i="14" s="1"/>
  <c r="D20" i="14"/>
  <c r="C173" i="22"/>
  <c r="D173" i="22" s="1"/>
  <c r="E173" i="22" s="1"/>
  <c r="E19" i="14"/>
  <c r="D19" i="14"/>
  <c r="C174" i="22" l="1"/>
  <c r="D174" i="22" s="1"/>
  <c r="E174" i="22" s="1"/>
  <c r="C175" i="22" l="1"/>
  <c r="D175" i="22" s="1"/>
  <c r="E175" i="22" s="1"/>
  <c r="C176" i="22" l="1"/>
  <c r="D176" i="22" s="1"/>
  <c r="E176" i="22"/>
  <c r="C177" i="22" l="1"/>
  <c r="D177" i="22" s="1"/>
  <c r="E177" i="22" s="1"/>
  <c r="C178" i="22" l="1"/>
  <c r="D178" i="22" s="1"/>
  <c r="E178" i="22" s="1"/>
  <c r="C179" i="22" l="1"/>
  <c r="D179" i="22" s="1"/>
  <c r="E179" i="22" s="1"/>
  <c r="C180" i="22" l="1"/>
  <c r="D180" i="22" s="1"/>
  <c r="E180" i="22"/>
  <c r="C181" i="22" l="1"/>
  <c r="D181" i="22" s="1"/>
  <c r="E181" i="22" s="1"/>
  <c r="C182" i="22" l="1"/>
  <c r="D182" i="22" s="1"/>
  <c r="E182" i="22"/>
  <c r="C183" i="22" l="1"/>
  <c r="D183" i="22" s="1"/>
  <c r="E183" i="22" s="1"/>
  <c r="C184" i="22" l="1"/>
  <c r="D184" i="22" s="1"/>
  <c r="E184" i="22" s="1"/>
  <c r="C185" i="22" l="1"/>
  <c r="D185" i="22" s="1"/>
  <c r="E185" i="22" s="1"/>
  <c r="C186" i="22" l="1"/>
  <c r="D186" i="22" s="1"/>
  <c r="E186" i="22" s="1"/>
  <c r="C187" i="22" l="1"/>
  <c r="D187" i="22" s="1"/>
  <c r="E187" i="22"/>
  <c r="C188" i="22" l="1"/>
  <c r="D188" i="22" s="1"/>
  <c r="E188" i="22" s="1"/>
  <c r="C189" i="22" l="1"/>
  <c r="D189" i="22" s="1"/>
  <c r="E189" i="22" s="1"/>
  <c r="C190" i="22" l="1"/>
  <c r="D190" i="22" s="1"/>
  <c r="E190" i="22" s="1"/>
  <c r="C191" i="22" l="1"/>
  <c r="D191" i="22" s="1"/>
  <c r="E191" i="22"/>
  <c r="C192" i="22" l="1"/>
  <c r="D192" i="22" s="1"/>
  <c r="E192" i="22"/>
  <c r="C193" i="22" l="1"/>
  <c r="D193" i="22" s="1"/>
  <c r="E193" i="22" s="1"/>
  <c r="C194" i="22" l="1"/>
  <c r="D194" i="22" s="1"/>
  <c r="E194" i="22" s="1"/>
  <c r="C195" i="22" l="1"/>
  <c r="C13" i="22" s="1"/>
  <c r="C51" i="3" l="1"/>
  <c r="E12" i="14"/>
  <c r="D12" i="14"/>
  <c r="D195" i="22"/>
  <c r="D13" i="22" s="1"/>
  <c r="D26" i="14" l="1"/>
  <c r="E26" i="14"/>
  <c r="E195" i="22"/>
  <c r="E196" i="22" s="1"/>
  <c r="E197" i="22" s="1"/>
  <c r="E198" i="22" s="1"/>
  <c r="E199" i="22" s="1"/>
  <c r="E200" i="22" s="1"/>
  <c r="E201" i="22" s="1"/>
  <c r="E202" i="22" s="1"/>
  <c r="E203" i="22" s="1"/>
  <c r="E204" i="22" s="1"/>
  <c r="E205" i="22" s="1"/>
  <c r="E206" i="22" s="1"/>
  <c r="E207" i="22" s="1"/>
  <c r="E208" i="22" s="1"/>
  <c r="E209" i="22" s="1"/>
  <c r="E210" i="22" s="1"/>
  <c r="E211" i="22" s="1"/>
  <c r="E212" i="22" s="1"/>
  <c r="E213" i="22" s="1"/>
  <c r="E214" i="22" s="1"/>
  <c r="E215" i="22" s="1"/>
  <c r="E216" i="22" s="1"/>
  <c r="E217" i="22" s="1"/>
  <c r="E218" i="22" s="1"/>
  <c r="E219" i="22" s="1"/>
  <c r="E220" i="22" s="1"/>
  <c r="E221" i="22" s="1"/>
  <c r="E222" i="22" s="1"/>
  <c r="E223" i="22" s="1"/>
  <c r="E224" i="22" s="1"/>
  <c r="E225" i="22" s="1"/>
  <c r="E226" i="22" s="1"/>
  <c r="E227" i="22" s="1"/>
  <c r="E228" i="22" s="1"/>
  <c r="E229" i="22" s="1"/>
  <c r="E230" i="22" s="1"/>
  <c r="E231" i="22" s="1"/>
  <c r="E232" i="22" s="1"/>
  <c r="E233" i="22" s="1"/>
  <c r="E234" i="22" s="1"/>
  <c r="E235" i="22" s="1"/>
  <c r="E236" i="22" s="1"/>
  <c r="E237" i="22" s="1"/>
  <c r="E238" i="22" s="1"/>
  <c r="E239" i="22" s="1"/>
  <c r="E240" i="22" s="1"/>
  <c r="E241" i="22" s="1"/>
  <c r="E242" i="22" s="1"/>
  <c r="E243" i="22" s="1"/>
  <c r="E244" i="22" s="1"/>
  <c r="E245" i="22" s="1"/>
  <c r="E246" i="22" s="1"/>
  <c r="E247" i="22" s="1"/>
  <c r="E248" i="22" s="1"/>
  <c r="E249" i="22" s="1"/>
  <c r="E250" i="22" s="1"/>
  <c r="E251" i="22" s="1"/>
  <c r="E252" i="22" s="1"/>
  <c r="E253" i="22" s="1"/>
  <c r="E254" i="22" s="1"/>
  <c r="E255" i="22" s="1"/>
  <c r="E256" i="22" s="1"/>
  <c r="E257" i="22" s="1"/>
  <c r="E258" i="22" s="1"/>
  <c r="E259" i="22" s="1"/>
  <c r="E260" i="22" s="1"/>
  <c r="E261" i="22" s="1"/>
  <c r="E262" i="22" s="1"/>
  <c r="E263" i="22" s="1"/>
  <c r="E264" i="22" s="1"/>
  <c r="E265" i="22" s="1"/>
  <c r="E266" i="22" s="1"/>
  <c r="E267" i="22" s="1"/>
  <c r="E268" i="22" s="1"/>
  <c r="E269" i="22" s="1"/>
  <c r="E270" i="22" s="1"/>
  <c r="E271" i="22" s="1"/>
  <c r="E272" i="22" s="1"/>
  <c r="E273" i="22" s="1"/>
  <c r="E274" i="22" s="1"/>
  <c r="E275" i="22" s="1"/>
  <c r="E276" i="22" s="1"/>
  <c r="E277" i="22" s="1"/>
  <c r="E278" i="22" s="1"/>
  <c r="E279" i="22" s="1"/>
  <c r="E280" i="22" s="1"/>
  <c r="E281" i="22" s="1"/>
  <c r="E282" i="22" s="1"/>
  <c r="E283" i="22" s="1"/>
  <c r="E284" i="22" s="1"/>
  <c r="E285" i="22" s="1"/>
  <c r="E286" i="22" s="1"/>
  <c r="E287" i="22" s="1"/>
  <c r="E288" i="22" s="1"/>
  <c r="E289" i="22" s="1"/>
  <c r="E290" i="22" s="1"/>
  <c r="E291" i="22" s="1"/>
  <c r="E292" i="22" s="1"/>
  <c r="E293" i="22" s="1"/>
  <c r="E294" i="22" s="1"/>
  <c r="E295" i="22" s="1"/>
  <c r="E296" i="22" s="1"/>
  <c r="E297" i="22" s="1"/>
  <c r="E298" i="22" s="1"/>
  <c r="E299" i="22" s="1"/>
  <c r="E300" i="22" s="1"/>
  <c r="E301" i="22" s="1"/>
  <c r="E302" i="22" s="1"/>
  <c r="E303" i="22" s="1"/>
  <c r="E304" i="22" s="1"/>
  <c r="E305" i="22" s="1"/>
  <c r="E306" i="22" s="1"/>
  <c r="E307" i="22" s="1"/>
  <c r="E308" i="22" s="1"/>
  <c r="E309" i="22" s="1"/>
  <c r="E310" i="22" s="1"/>
  <c r="E311" i="22" s="1"/>
  <c r="E312" i="22" s="1"/>
  <c r="E313" i="22" s="1"/>
  <c r="E314" i="22" s="1"/>
  <c r="E315" i="22" s="1"/>
  <c r="E316" i="22" s="1"/>
  <c r="E317" i="22" s="1"/>
  <c r="E318" i="22" s="1"/>
  <c r="E319" i="22" s="1"/>
  <c r="E320" i="22" s="1"/>
  <c r="E321" i="22" s="1"/>
  <c r="E322" i="22" s="1"/>
  <c r="E323" i="22" s="1"/>
  <c r="E324" i="22" s="1"/>
  <c r="E325" i="22" s="1"/>
  <c r="E326" i="22" s="1"/>
  <c r="E327" i="22" s="1"/>
  <c r="E328" i="22" s="1"/>
  <c r="E329" i="22" s="1"/>
  <c r="E330" i="22" s="1"/>
  <c r="E331" i="22" s="1"/>
  <c r="E332" i="22" s="1"/>
  <c r="E333" i="22" s="1"/>
  <c r="E334" i="22" s="1"/>
  <c r="E335" i="22" s="1"/>
  <c r="E336" i="22" s="1"/>
  <c r="E337" i="22" s="1"/>
  <c r="E338" i="22" s="1"/>
  <c r="E339" i="22" s="1"/>
  <c r="E340" i="22" s="1"/>
  <c r="E341" i="22" s="1"/>
  <c r="E342" i="22" s="1"/>
  <c r="E343" i="22" s="1"/>
  <c r="E344" i="22" s="1"/>
  <c r="E345" i="22" s="1"/>
  <c r="E346" i="22" s="1"/>
  <c r="E347" i="22" s="1"/>
  <c r="E348" i="22" s="1"/>
  <c r="E349" i="22" s="1"/>
  <c r="E350" i="22" s="1"/>
  <c r="E351" i="22" s="1"/>
  <c r="E352" i="22" s="1"/>
  <c r="E353" i="22" s="1"/>
  <c r="E354" i="22" s="1"/>
  <c r="E355" i="22" s="1"/>
  <c r="E356" i="22" s="1"/>
  <c r="E357" i="22" s="1"/>
  <c r="E358" i="22" s="1"/>
  <c r="E359" i="22" s="1"/>
  <c r="E360" i="22" s="1"/>
  <c r="E361" i="22" s="1"/>
  <c r="E362" i="22" s="1"/>
  <c r="E363" i="22" s="1"/>
  <c r="E364" i="22" s="1"/>
  <c r="E365" i="22" s="1"/>
  <c r="E366" i="22" s="1"/>
  <c r="E367" i="22" s="1"/>
  <c r="E368" i="22" s="1"/>
  <c r="E369" i="22" s="1"/>
  <c r="E370" i="22" s="1"/>
  <c r="E371" i="22" s="1"/>
  <c r="E372" i="22" s="1"/>
  <c r="E373" i="22" s="1"/>
  <c r="E374" i="22" s="1"/>
  <c r="E375" i="22" s="1"/>
  <c r="E376" i="22" s="1"/>
  <c r="E377" i="22" s="1"/>
  <c r="E378" i="22" s="1"/>
  <c r="E379" i="22" s="1"/>
  <c r="E380" i="22" s="1"/>
  <c r="E381" i="22" s="1"/>
  <c r="E382" i="22" s="1"/>
  <c r="E383" i="22" s="1"/>
  <c r="E384" i="22" s="1"/>
  <c r="E385" i="22" s="1"/>
  <c r="E386" i="22" s="1"/>
  <c r="E387" i="22" s="1"/>
  <c r="E388" i="22" s="1"/>
  <c r="E389" i="22" s="1"/>
  <c r="E390" i="22" s="1"/>
  <c r="E391" i="22" s="1"/>
  <c r="E392" i="22" s="1"/>
  <c r="E393" i="22" s="1"/>
  <c r="E394" i="22" s="1"/>
  <c r="E395" i="22" s="1"/>
  <c r="E396" i="22" s="1"/>
  <c r="E397" i="22" s="1"/>
  <c r="E398" i="22" s="1"/>
  <c r="E399" i="22" s="1"/>
  <c r="E400" i="22" s="1"/>
  <c r="E401" i="22" s="1"/>
  <c r="E402" i="22" s="1"/>
  <c r="E403" i="22" s="1"/>
  <c r="E404" i="22" s="1"/>
  <c r="E405" i="22" s="1"/>
  <c r="E406" i="22" s="1"/>
  <c r="E407" i="22" s="1"/>
  <c r="E408" i="22" s="1"/>
  <c r="E409" i="22" s="1"/>
  <c r="E410" i="22" s="1"/>
  <c r="E411" i="22" s="1"/>
  <c r="E412" i="22" s="1"/>
  <c r="E413" i="22" s="1"/>
  <c r="E414" i="22" s="1"/>
  <c r="E415" i="22" s="1"/>
  <c r="E416" i="22" s="1"/>
  <c r="E417" i="22" s="1"/>
  <c r="E418" i="22" s="1"/>
  <c r="E419" i="22" s="1"/>
  <c r="E420" i="22" s="1"/>
  <c r="E421" i="22" s="1"/>
  <c r="E422" i="22" s="1"/>
  <c r="E423" i="22" s="1"/>
  <c r="E424" i="22" s="1"/>
  <c r="E425" i="22" s="1"/>
  <c r="E426" i="22" s="1"/>
  <c r="E427" i="22" s="1"/>
  <c r="E428" i="22" s="1"/>
  <c r="E429" i="22" s="1"/>
  <c r="E430" i="22" s="1"/>
  <c r="E431" i="22" s="1"/>
  <c r="E432" i="22" s="1"/>
  <c r="E433" i="22" s="1"/>
  <c r="E434" i="22" s="1"/>
  <c r="E435" i="22" s="1"/>
  <c r="E436" i="22" s="1"/>
  <c r="E437" i="22" s="1"/>
  <c r="E438" i="22" s="1"/>
  <c r="E439" i="22" s="1"/>
  <c r="E440" i="22" s="1"/>
  <c r="E441" i="22" s="1"/>
  <c r="E442" i="22" s="1"/>
  <c r="E443" i="22" s="1"/>
  <c r="E444" i="22" s="1"/>
  <c r="E445" i="22" s="1"/>
  <c r="E446" i="22" s="1"/>
  <c r="E447" i="22" s="1"/>
  <c r="E448" i="22" s="1"/>
  <c r="E449" i="22" s="1"/>
  <c r="E450" i="22" s="1"/>
  <c r="E451" i="22" s="1"/>
  <c r="E452" i="22" s="1"/>
  <c r="E453" i="22" s="1"/>
  <c r="E454" i="22" s="1"/>
  <c r="E455" i="22" s="1"/>
  <c r="E456" i="22" s="1"/>
  <c r="E457" i="22" s="1"/>
  <c r="E458" i="22" s="1"/>
  <c r="E459" i="22" s="1"/>
  <c r="E460" i="22" s="1"/>
  <c r="E461" i="22" s="1"/>
  <c r="E462" i="22" s="1"/>
  <c r="E463" i="22" s="1"/>
  <c r="E464" i="22" s="1"/>
  <c r="E465" i="22" s="1"/>
  <c r="E466" i="22" s="1"/>
  <c r="E467" i="22" s="1"/>
  <c r="E468" i="22" s="1"/>
  <c r="E469" i="22" s="1"/>
  <c r="E470" i="22" s="1"/>
  <c r="E471" i="22" s="1"/>
  <c r="E472" i="22" s="1"/>
  <c r="E473" i="22" s="1"/>
  <c r="E474" i="22" s="1"/>
  <c r="E475" i="22" s="1"/>
  <c r="E476" i="22" s="1"/>
  <c r="E477" i="22" s="1"/>
  <c r="E478" i="22" s="1"/>
  <c r="E479" i="22" s="1"/>
  <c r="E480" i="22" s="1"/>
  <c r="E481" i="22" s="1"/>
  <c r="E482" i="22" s="1"/>
  <c r="E483" i="22" s="1"/>
  <c r="E484" i="22" s="1"/>
  <c r="E485" i="22" s="1"/>
  <c r="E486" i="22" s="1"/>
  <c r="E487" i="22" s="1"/>
  <c r="E488" i="22" s="1"/>
  <c r="E489" i="22" s="1"/>
  <c r="E490" i="22" s="1"/>
  <c r="E491" i="22" s="1"/>
  <c r="E492" i="22" s="1"/>
  <c r="E493" i="22" s="1"/>
  <c r="E494" i="22" s="1"/>
  <c r="E495" i="22" s="1"/>
  <c r="E496" i="22" s="1"/>
  <c r="E497" i="22" s="1"/>
  <c r="E498" i="22" s="1"/>
  <c r="E499" i="22" s="1"/>
  <c r="E500" i="22" s="1"/>
  <c r="E501" i="22" s="1"/>
  <c r="E502" i="22" s="1"/>
  <c r="E503" i="22" s="1"/>
  <c r="E504" i="22" s="1"/>
  <c r="E505" i="22" s="1"/>
  <c r="E506" i="22" s="1"/>
  <c r="E507" i="22" s="1"/>
  <c r="E508" i="22" s="1"/>
  <c r="E509" i="22" s="1"/>
  <c r="E510" i="22" s="1"/>
  <c r="E511" i="22" s="1"/>
  <c r="E512" i="22" s="1"/>
  <c r="E513" i="22" s="1"/>
  <c r="E514" i="22" s="1"/>
  <c r="E515" i="22" s="1"/>
  <c r="E516" i="22" s="1"/>
  <c r="E517" i="22" s="1"/>
  <c r="E518" i="22" s="1"/>
  <c r="E519" i="22" s="1"/>
  <c r="E520" i="22" s="1"/>
  <c r="E521" i="22" s="1"/>
  <c r="E522" i="22" s="1"/>
  <c r="E523" i="22" s="1"/>
  <c r="E524" i="22" s="1"/>
  <c r="E525" i="22" s="1"/>
  <c r="E526" i="22" s="1"/>
  <c r="E527" i="22" s="1"/>
  <c r="E528" i="22" s="1"/>
  <c r="E529" i="22" s="1"/>
  <c r="E530" i="22" s="1"/>
  <c r="E531" i="22" s="1"/>
  <c r="E532" i="22" s="1"/>
  <c r="E533" i="22" s="1"/>
  <c r="E534" i="22" s="1"/>
  <c r="E535" i="22" s="1"/>
  <c r="E536" i="22" s="1"/>
  <c r="E537" i="22" s="1"/>
  <c r="E538" i="22" s="1"/>
  <c r="E539" i="22" s="1"/>
  <c r="E540" i="22" s="1"/>
  <c r="E541" i="22" s="1"/>
  <c r="E542" i="22" s="1"/>
  <c r="E543" i="22" s="1"/>
  <c r="E544" i="22" s="1"/>
  <c r="E545" i="22" s="1"/>
  <c r="E546" i="22" s="1"/>
  <c r="E547" i="22" s="1"/>
  <c r="E548" i="22" s="1"/>
  <c r="E549" i="22" s="1"/>
  <c r="E550" i="22" s="1"/>
  <c r="E551" i="22" s="1"/>
  <c r="E552" i="22" s="1"/>
  <c r="E553" i="22" s="1"/>
  <c r="E554" i="22" s="1"/>
  <c r="E555" i="22" s="1"/>
  <c r="E556" i="22" s="1"/>
  <c r="E557" i="22" s="1"/>
  <c r="E558" i="22" s="1"/>
  <c r="E559" i="22" s="1"/>
  <c r="E560" i="22" s="1"/>
  <c r="E561" i="22" s="1"/>
  <c r="E562" i="22" s="1"/>
  <c r="E563" i="22" s="1"/>
  <c r="E564" i="22" s="1"/>
  <c r="E565" i="22" s="1"/>
  <c r="E566" i="22" s="1"/>
  <c r="E567" i="22" s="1"/>
  <c r="E568" i="22" s="1"/>
  <c r="E569" i="22" s="1"/>
  <c r="E570" i="22" s="1"/>
  <c r="E571" i="22" s="1"/>
  <c r="E572" i="22" s="1"/>
  <c r="E573" i="22" s="1"/>
  <c r="E574" i="22" s="1"/>
  <c r="E575" i="22" s="1"/>
  <c r="E576" i="22" s="1"/>
  <c r="E577" i="22" s="1"/>
  <c r="E578" i="22" s="1"/>
  <c r="E579" i="22" s="1"/>
  <c r="E580" i="22" s="1"/>
  <c r="E581" i="22" s="1"/>
  <c r="E582" i="22" s="1"/>
  <c r="E583" i="22" s="1"/>
  <c r="E584" i="22" s="1"/>
  <c r="E585" i="22" s="1"/>
  <c r="E586" i="22" s="1"/>
  <c r="E587" i="22" s="1"/>
  <c r="E588" i="22" s="1"/>
  <c r="E589" i="22" s="1"/>
  <c r="E590" i="22" s="1"/>
  <c r="E591" i="22" s="1"/>
  <c r="E592" i="22" s="1"/>
  <c r="E593" i="22" s="1"/>
  <c r="E594" i="22" s="1"/>
  <c r="E595" i="22" s="1"/>
  <c r="E596" i="22" s="1"/>
  <c r="E597" i="22" s="1"/>
  <c r="E598" i="22" s="1"/>
  <c r="E599" i="22" s="1"/>
  <c r="E600" i="22" s="1"/>
  <c r="E601" i="22" s="1"/>
  <c r="E602" i="22" s="1"/>
  <c r="E603" i="22" s="1"/>
  <c r="E604" i="22" s="1"/>
  <c r="E605" i="22" s="1"/>
  <c r="E606" i="22" s="1"/>
  <c r="E607" i="22" s="1"/>
  <c r="E608" i="22" s="1"/>
  <c r="E609" i="22" s="1"/>
  <c r="E610" i="22" s="1"/>
  <c r="E611" i="22" s="1"/>
  <c r="E612" i="22" s="1"/>
  <c r="E613" i="22" s="1"/>
  <c r="E614" i="22" s="1"/>
  <c r="E615" i="22" s="1"/>
  <c r="E616" i="22" s="1"/>
  <c r="E617" i="22" s="1"/>
  <c r="E618" i="22" s="1"/>
  <c r="E619" i="22" s="1"/>
  <c r="E620" i="22" s="1"/>
  <c r="E621" i="22" s="1"/>
  <c r="E622" i="22" s="1"/>
  <c r="E623" i="22" s="1"/>
  <c r="E624" i="22" s="1"/>
  <c r="E625" i="22" s="1"/>
  <c r="E626" i="22" s="1"/>
  <c r="E627" i="22" s="1"/>
  <c r="E628" i="22" s="1"/>
  <c r="E629" i="22" s="1"/>
  <c r="E630" i="22" s="1"/>
  <c r="E631" i="22" s="1"/>
  <c r="E632" i="22" s="1"/>
  <c r="E633" i="22" s="1"/>
  <c r="E634" i="22" s="1"/>
  <c r="E635" i="22" s="1"/>
  <c r="E636" i="22" s="1"/>
  <c r="E637" i="22" s="1"/>
  <c r="E638" i="22" s="1"/>
  <c r="E639" i="22" s="1"/>
  <c r="E640" i="22" s="1"/>
  <c r="E641" i="22" s="1"/>
  <c r="E642" i="22" s="1"/>
  <c r="E643" i="22" s="1"/>
  <c r="E644" i="22" s="1"/>
  <c r="E645" i="22" s="1"/>
  <c r="E646" i="22" s="1"/>
  <c r="E647" i="22" s="1"/>
  <c r="E648" i="22" s="1"/>
  <c r="E649" i="22" s="1"/>
  <c r="E650" i="22" s="1"/>
  <c r="E651" i="22" s="1"/>
  <c r="E652" i="22" s="1"/>
  <c r="E653" i="22" s="1"/>
  <c r="E654" i="22" s="1"/>
  <c r="E655" i="22" s="1"/>
  <c r="E656" i="22" s="1"/>
  <c r="E657" i="22" s="1"/>
  <c r="E658" i="22" s="1"/>
  <c r="E659" i="22" s="1"/>
  <c r="E660" i="22" s="1"/>
  <c r="E661" i="22" s="1"/>
  <c r="E662" i="22" s="1"/>
  <c r="E663" i="22" s="1"/>
  <c r="E664" i="22" s="1"/>
  <c r="E665" i="22" s="1"/>
  <c r="E666" i="22" s="1"/>
  <c r="E667" i="22" s="1"/>
  <c r="E668" i="22" s="1"/>
  <c r="E669" i="22" s="1"/>
  <c r="E670" i="22" s="1"/>
  <c r="E671" i="22" s="1"/>
  <c r="E672" i="22" s="1"/>
  <c r="E673" i="22" s="1"/>
  <c r="E674" i="22" s="1"/>
  <c r="E675" i="22" s="1"/>
  <c r="E676" i="22" s="1"/>
  <c r="E677" i="22" s="1"/>
  <c r="E678" i="22" s="1"/>
  <c r="E679" i="22" s="1"/>
  <c r="E680" i="22" s="1"/>
  <c r="E681" i="22" s="1"/>
  <c r="E682" i="22" s="1"/>
  <c r="E683" i="22" s="1"/>
  <c r="E684" i="22" s="1"/>
  <c r="E685" i="22" s="1"/>
  <c r="E686" i="22" s="1"/>
  <c r="E687" i="22" s="1"/>
  <c r="E688" i="22" s="1"/>
  <c r="E689" i="22" s="1"/>
  <c r="E690" i="22" s="1"/>
  <c r="E691" i="22" s="1"/>
  <c r="E692" i="22" s="1"/>
  <c r="E693" i="22" s="1"/>
  <c r="E694" i="22" s="1"/>
  <c r="E695" i="22" s="1"/>
  <c r="E696" i="22" s="1"/>
  <c r="E697" i="22" s="1"/>
  <c r="E698" i="22" s="1"/>
  <c r="E699" i="22" s="1"/>
  <c r="E700" i="22" s="1"/>
  <c r="E701" i="22" s="1"/>
  <c r="E702" i="22" s="1"/>
  <c r="E703" i="22" s="1"/>
  <c r="E704" i="22" s="1"/>
  <c r="E705" i="22" s="1"/>
  <c r="E706" i="22" s="1"/>
  <c r="E707" i="22" s="1"/>
  <c r="E708" i="22" s="1"/>
  <c r="E709" i="22" s="1"/>
  <c r="E710" i="22" s="1"/>
  <c r="E711" i="22" s="1"/>
  <c r="E712" i="22" s="1"/>
  <c r="E713" i="22" s="1"/>
  <c r="E714" i="22" s="1"/>
  <c r="E715" i="22" s="1"/>
  <c r="E716" i="22" s="1"/>
  <c r="E717" i="22" s="1"/>
  <c r="E718" i="22" s="1"/>
  <c r="E719" i="22" s="1"/>
  <c r="E720" i="22" s="1"/>
  <c r="E721" i="22" s="1"/>
  <c r="E722" i="22" s="1"/>
  <c r="E723" i="22" s="1"/>
  <c r="E724" i="22" s="1"/>
  <c r="E725" i="22" s="1"/>
  <c r="E726" i="22" s="1"/>
  <c r="E727" i="22" s="1"/>
  <c r="E728" i="22" s="1"/>
  <c r="E729" i="22" s="1"/>
  <c r="E730" i="22" s="1"/>
  <c r="E731" i="22" s="1"/>
  <c r="E732" i="22" s="1"/>
  <c r="E733" i="22" s="1"/>
  <c r="E734" i="22" s="1"/>
  <c r="E735" i="22" s="1"/>
  <c r="C27" i="14"/>
  <c r="E41" i="20"/>
  <c r="D41" i="20"/>
  <c r="F7" i="20"/>
  <c r="G41" i="20"/>
  <c r="H41" i="20" l="1"/>
  <c r="J41" i="20"/>
  <c r="J7" i="20" s="1"/>
  <c r="D44" i="14"/>
  <c r="D45" i="14" s="1"/>
  <c r="D48" i="14"/>
  <c r="F12" i="20"/>
  <c r="F8" i="20"/>
  <c r="I41" i="20"/>
  <c r="E44" i="14" l="1"/>
  <c r="E45" i="14" s="1"/>
  <c r="E48" i="14"/>
  <c r="J12" i="20"/>
  <c r="J8" i="20"/>
  <c r="D9" i="14"/>
  <c r="D13" i="14" s="1"/>
  <c r="D14" i="14" s="1"/>
  <c r="D23" i="14"/>
  <c r="D27" i="14" s="1"/>
  <c r="D30" i="14"/>
  <c r="D32" i="14" s="1"/>
  <c r="D34" i="14" l="1"/>
  <c r="E9" i="14"/>
  <c r="E13" i="14" s="1"/>
  <c r="E14" i="14" s="1"/>
  <c r="E30" i="14"/>
  <c r="E32" i="14" s="1"/>
  <c r="E23" i="14"/>
  <c r="E27" i="14" s="1"/>
  <c r="E34" i="14" l="1"/>
</calcChain>
</file>

<file path=xl/sharedStrings.xml><?xml version="1.0" encoding="utf-8"?>
<sst xmlns="http://schemas.openxmlformats.org/spreadsheetml/2006/main" count="1321" uniqueCount="781">
  <si>
    <t>Présentation générale de l'outil</t>
  </si>
  <si>
    <t>© 2015-2015</t>
  </si>
  <si>
    <t>Son utilisation ne peut en aucune façon engager la responsabilité de l'association ni de ses auteurs</t>
  </si>
  <si>
    <t>Cet outil vous est fourni sous licence Creative Commons CC BY-NC-ND 2.0</t>
  </si>
  <si>
    <t>Les conditions détaillées sont disponibles sur le site Creative Commons via le lien suivant :</t>
  </si>
  <si>
    <t>http://creativecommons.org/licenses/by-nc-nd/2.0/fr/legalcode</t>
  </si>
  <si>
    <t>Vous pouvez utiliser cet outil sous les conditions exclusives suivantes:</t>
  </si>
  <si>
    <t>développé par :</t>
  </si>
  <si>
    <t>Utilisation</t>
  </si>
  <si>
    <t>Lisez la notice d'utilisation pour toute question sur le "comment utiliser"</t>
  </si>
  <si>
    <t>Ne remplir ou modifier que les cases en jaune</t>
  </si>
  <si>
    <t>Si vous ne savez pas quoi indiquer, laissez la valeur par défaut indiquée</t>
  </si>
  <si>
    <t>Les cases en blanc contiennent les résultats calculés</t>
  </si>
  <si>
    <t>Contenu</t>
  </si>
  <si>
    <t>onglet</t>
  </si>
  <si>
    <t>contenu</t>
  </si>
  <si>
    <t>Reste pour vivre</t>
  </si>
  <si>
    <t>Attractivité</t>
  </si>
  <si>
    <t>Phase du projet</t>
  </si>
  <si>
    <t>Date de mise à jour</t>
  </si>
  <si>
    <t>Nom de l'utilisateur</t>
  </si>
  <si>
    <t>Age constructif</t>
  </si>
  <si>
    <t>Valeur vénale du patrimoine actuelle</t>
  </si>
  <si>
    <t>T1</t>
  </si>
  <si>
    <t>T2</t>
  </si>
  <si>
    <t>T3</t>
  </si>
  <si>
    <t>T4</t>
  </si>
  <si>
    <t>T5</t>
  </si>
  <si>
    <t>Cumul</t>
  </si>
  <si>
    <t>moyenne pondérée</t>
  </si>
  <si>
    <t>ratio par défaut</t>
  </si>
  <si>
    <t>Global</t>
  </si>
  <si>
    <t>Energie principale</t>
  </si>
  <si>
    <t>Chauffage</t>
  </si>
  <si>
    <t>électricité réseau public</t>
  </si>
  <si>
    <t>individuel</t>
  </si>
  <si>
    <t>ECS</t>
  </si>
  <si>
    <t>Refroidissement</t>
  </si>
  <si>
    <t>Autres usages</t>
  </si>
  <si>
    <t>dont chauffage</t>
  </si>
  <si>
    <t>dont ECS (énergie d'appoint si solaire)</t>
  </si>
  <si>
    <t>dont refroidissement</t>
  </si>
  <si>
    <t>coef conversion énergie primaire (Cep)</t>
  </si>
  <si>
    <t>Commentaires</t>
  </si>
  <si>
    <t>Loyer</t>
  </si>
  <si>
    <t>Nombre de logements</t>
  </si>
  <si>
    <t>Taux annuel actualisation loyers</t>
  </si>
  <si>
    <t>Durée amortissement</t>
  </si>
  <si>
    <t>nombre de logements</t>
  </si>
  <si>
    <t>cumul loyers annuels actuel</t>
  </si>
  <si>
    <t>Bâtiment</t>
  </si>
  <si>
    <t>Distribution</t>
  </si>
  <si>
    <t>Hausse annuelle prévisible</t>
  </si>
  <si>
    <t>Ventilation</t>
  </si>
  <si>
    <t>Auxiliaire</t>
  </si>
  <si>
    <t>Eclairage</t>
  </si>
  <si>
    <t>PV</t>
  </si>
  <si>
    <r>
      <t>BY - Paternité</t>
    </r>
    <r>
      <rPr>
        <sz val="10"/>
        <rFont val="AvenirNext LT Pro Regular"/>
        <family val="2"/>
      </rPr>
      <t xml:space="preserve"> — Vous devez attribuer l'oeuvre de la manière indiquée par l'auteur de l'oeuvre ou le titulaire des droits (mais pas d'une manière qui suggérerait qu'ils vous soutiennent ou approuvent votre utilisation de l'oeuvre). </t>
    </r>
  </si>
  <si>
    <r>
      <t>NC - Pas d’utilisation commerciale</t>
    </r>
    <r>
      <rPr>
        <sz val="10"/>
        <rFont val="AvenirNext LT Pro Regular"/>
        <family val="2"/>
      </rPr>
      <t xml:space="preserve"> — Vous n'avez pas le droit d'utiliser cette oeuvre à des fins commerciales. </t>
    </r>
  </si>
  <si>
    <r>
      <t>ND - Pas de travaux dérivés</t>
    </r>
    <r>
      <rPr>
        <sz val="10"/>
        <rFont val="AvenirNext LT Pro Regular"/>
        <family val="2"/>
      </rPr>
      <t xml:space="preserve"> — Vous n’avez pas le droit de modifier, de transformer ou d’adapter cette œuvre. </t>
    </r>
  </si>
  <si>
    <r>
      <t xml:space="preserve">Valeurs à adapter, </t>
    </r>
    <r>
      <rPr>
        <b/>
        <u/>
        <sz val="10"/>
        <color indexed="8"/>
        <rFont val="AvenirNext LT Pro Regular"/>
        <family val="2"/>
      </rPr>
      <t>si besoin</t>
    </r>
    <r>
      <rPr>
        <b/>
        <sz val="10"/>
        <color indexed="8"/>
        <rFont val="AvenirNext LT Pro Regular"/>
        <family val="2"/>
      </rPr>
      <t>,</t>
    </r>
    <r>
      <rPr>
        <sz val="10"/>
        <color indexed="8"/>
        <rFont val="AvenirNext LT Pro Regular"/>
        <family val="2"/>
      </rPr>
      <t xml:space="preserve"> à la réalité du site. Si vous ne savez pas, ne modifiez rien.</t>
    </r>
  </si>
  <si>
    <t>Prix hors abonnement
(€ TTC / kWh)</t>
  </si>
  <si>
    <t>Bois granulés</t>
  </si>
  <si>
    <t>Bois plaquettes</t>
  </si>
  <si>
    <t>Electricité réseau public</t>
  </si>
  <si>
    <t>Fioul domestique</t>
  </si>
  <si>
    <t>Gaz propane</t>
  </si>
  <si>
    <t>Gaz de ville</t>
  </si>
  <si>
    <t>collectif</t>
  </si>
  <si>
    <t>Méthode/sources</t>
  </si>
  <si>
    <t>TOTAL</t>
  </si>
  <si>
    <t>TH-C-E-Ex</t>
  </si>
  <si>
    <t>Etiquette énergie</t>
  </si>
  <si>
    <t>Etiquette climat</t>
  </si>
  <si>
    <t>dont autres usages (yc éclairage)</t>
  </si>
  <si>
    <t>Inflation</t>
  </si>
  <si>
    <t>bois granulés</t>
  </si>
  <si>
    <t>bois plaquettes</t>
  </si>
  <si>
    <t>fioul domestique</t>
  </si>
  <si>
    <t>gaz propane</t>
  </si>
  <si>
    <t>gaz de ville</t>
  </si>
  <si>
    <t>les coût globaux sont calculés sur cette durée</t>
  </si>
  <si>
    <t>inflation moyenne prévisible à moyen terme</t>
  </si>
  <si>
    <t>ICC (indice coût construction)</t>
  </si>
  <si>
    <t>ICC net d'inflation</t>
  </si>
  <si>
    <t>taux d'actualisation moyen projeté par le bailleur</t>
  </si>
  <si>
    <t>TABLEAU DE CADRAGE</t>
  </si>
  <si>
    <t>Montant des abonnements collectif</t>
  </si>
  <si>
    <t>Nom du bâtiment à rénover</t>
  </si>
  <si>
    <t>Individuel - Electrique - Bleu Base - 12 kVA</t>
  </si>
  <si>
    <t>Individuel - Electrique - Bleu HC - 12 kVA</t>
  </si>
  <si>
    <t>Individuel - Electrique - Tempo - 12 kVA</t>
  </si>
  <si>
    <t>Individuel - Gaz de ville - Base</t>
  </si>
  <si>
    <t>Individuel - Gaz de ville - B0</t>
  </si>
  <si>
    <t>Individuel - Gaz de ville - B1</t>
  </si>
  <si>
    <t>Individuel - Gaz de ville - B2I</t>
  </si>
  <si>
    <t>inférieur à 1000 kWh.an - usages :gaz cuisson</t>
  </si>
  <si>
    <t>entre 1 000 et 6 000 kWh.an - usages : cuisson + ECS</t>
  </si>
  <si>
    <t>entre 6 000 et 30 000 kWh.an - usages : cuisson + ECS + chauffage</t>
  </si>
  <si>
    <t>Collectif - Gaz de ville - B2I</t>
  </si>
  <si>
    <t>Collectif - Gaz de ville - B2S</t>
  </si>
  <si>
    <t>entre 150 000 et 300 000 kWh.an - Usages : chaufferie</t>
  </si>
  <si>
    <t>plus de 30 000 kWh.an - usage : chaufferie collective de petite taille (20 logements)</t>
  </si>
  <si>
    <t>plus de 30 000 kWh.an - Usage : chaufferie collective de petite taille (20 logements)</t>
  </si>
  <si>
    <t>DESCRIPTION DU BATI</t>
  </si>
  <si>
    <t>très consommateur d'énergie - condensation en hiver</t>
  </si>
  <si>
    <t>nécessite une intervention</t>
  </si>
  <si>
    <t>bonne durée de vie - stockage de CO2</t>
  </si>
  <si>
    <t>traiter le risque de bloquage de la vapeur d'eau - utiliser un produit dense ne tassant pas</t>
  </si>
  <si>
    <t>offre une bonne inertie aux logements du RdC</t>
  </si>
  <si>
    <t>veiller à la continuité avec l'isolant mural (ITE recommandée)</t>
  </si>
  <si>
    <t>manque de traitement du pont thermique périphérique</t>
  </si>
  <si>
    <t>ajouter une isolation intérieure des fondations</t>
  </si>
  <si>
    <t>isoler (vertical ou horizontal) les fondations par l'extérieur (ITE recommandée)</t>
  </si>
  <si>
    <t>inconfort lié aux planchers froids</t>
  </si>
  <si>
    <t>fragile en logement social, confortable dans les espaces de nuit</t>
  </si>
  <si>
    <t>usure rapide</t>
  </si>
  <si>
    <t>grande durée de vie, sans entretien</t>
  </si>
  <si>
    <t>robustesse moyenne, pas de maintenance</t>
  </si>
  <si>
    <t>faible inertie en été</t>
  </si>
  <si>
    <t>résiste mal à la ventilation des combles - tendance à se déplacer</t>
  </si>
  <si>
    <t>risque d'inconfort en été</t>
  </si>
  <si>
    <t>necéssite un entretien régulier pour être durable</t>
  </si>
  <si>
    <t>à privilégier pour les menuiseries  de grande taille</t>
  </si>
  <si>
    <t>permet de réguler la ventilation naturelle et l'ani-effraction nocturne</t>
  </si>
  <si>
    <t>très résistant, sans entretien, performance moyenne</t>
  </si>
  <si>
    <t>très résistant, entretien nécessaire, bonne performance</t>
  </si>
  <si>
    <t>à privilégier pour les pièces de vie</t>
  </si>
  <si>
    <t>très résistant aux UV, faible entretien, bonne performance</t>
  </si>
  <si>
    <t>faible résistance, bonne performance, entretien régulier indispensable</t>
  </si>
  <si>
    <t>prévoir un entretien quinquennal pour maintenir leur performance</t>
  </si>
  <si>
    <t>permettent de bien réguler la ventilation naturelle et l'éclairage</t>
  </si>
  <si>
    <t>à privilégier sur les façades lisses</t>
  </si>
  <si>
    <t>bien traiter l'isolation des réseaux collectifs</t>
  </si>
  <si>
    <t>énergie économique - mauvais bilan carbone</t>
  </si>
  <si>
    <t>réaliser un désembouage quinquennal</t>
  </si>
  <si>
    <t>réaliser un désembouage quinquennal - faire un contrôle décennal de l'état du réseau</t>
  </si>
  <si>
    <t>difficulté majeure à réguler de manière efficace</t>
  </si>
  <si>
    <t>étudier la mise en place d'une régulation par logement</t>
  </si>
  <si>
    <t>compense partiellement les défauts de la régulation collective</t>
  </si>
  <si>
    <t>sans aucun entretien</t>
  </si>
  <si>
    <t>assure une bonne ventilation économique si correctement entretenue</t>
  </si>
  <si>
    <t>assurer une maintenance annuelle sur les extracteurs et bouches - nettoyage quinquennal des conduites</t>
  </si>
  <si>
    <t>Mur sur extérieur</t>
  </si>
  <si>
    <t>Menuiseries</t>
  </si>
  <si>
    <t>Type d'ouvrant</t>
  </si>
  <si>
    <t>Occultations</t>
  </si>
  <si>
    <t>Recommandations (dans la mesure du possible)</t>
  </si>
  <si>
    <t>Volets coulissants</t>
  </si>
  <si>
    <t>Solutions retenues</t>
  </si>
  <si>
    <t>Recommandations</t>
  </si>
  <si>
    <t>Solutions existantes</t>
  </si>
  <si>
    <t>Toiture</t>
  </si>
  <si>
    <t>Plancher bas</t>
  </si>
  <si>
    <t>Technique d'isolation du plancher bas</t>
  </si>
  <si>
    <t>Revêtement de sol</t>
  </si>
  <si>
    <t>Isolation périphérique des fondations</t>
  </si>
  <si>
    <t>Non isolé sur caves</t>
  </si>
  <si>
    <t>Non isolé sur terre-plein</t>
  </si>
  <si>
    <t>Non isolé sur VS</t>
  </si>
  <si>
    <t>Parquet bois</t>
  </si>
  <si>
    <t>Sol PVC</t>
  </si>
  <si>
    <t>Sol minéral (béton ciré et dérivés, mortier teinté, pierre, carrelage, …)</t>
  </si>
  <si>
    <t>Sol stratifié</t>
  </si>
  <si>
    <t>Individuelle par programmateur - pilotage par pièce</t>
  </si>
  <si>
    <t>Individuelle par logement sur sonde thermique</t>
  </si>
  <si>
    <t>Collective + robinets thermostatiques</t>
  </si>
  <si>
    <t>Collective</t>
  </si>
  <si>
    <t>Plancher chauffant</t>
  </si>
  <si>
    <t>Radiative murale</t>
  </si>
  <si>
    <t>Emission</t>
  </si>
  <si>
    <t>Régulation</t>
  </si>
  <si>
    <t>DESCRIPTION DES EQUIPEMENTS CVC-PB</t>
  </si>
  <si>
    <t>Largueur du bâtiment (pignon)</t>
  </si>
  <si>
    <t>Longueur du bâtiment (façade)</t>
  </si>
  <si>
    <t>Hauteur du bâtiment</t>
  </si>
  <si>
    <t>Surface plancher bas</t>
  </si>
  <si>
    <t>Pourcentage de vitrage en pignon</t>
  </si>
  <si>
    <t>Pourcentage de vitrage en façade</t>
  </si>
  <si>
    <t>EXISTANT</t>
  </si>
  <si>
    <t>PROJET 1</t>
  </si>
  <si>
    <t>PROJET 2</t>
  </si>
  <si>
    <t>BATI</t>
  </si>
  <si>
    <t>ENERGIE</t>
  </si>
  <si>
    <r>
      <t>SHAB total (m</t>
    </r>
    <r>
      <rPr>
        <vertAlign val="superscript"/>
        <sz val="10"/>
        <color theme="1"/>
        <rFont val="AvenirNext LT Pro Regular"/>
        <family val="2"/>
      </rPr>
      <t>2</t>
    </r>
    <r>
      <rPr>
        <sz val="10"/>
        <color theme="1"/>
        <rFont val="AvenirNext LT Pro Regular"/>
        <family val="2"/>
      </rPr>
      <t>)</t>
    </r>
  </si>
  <si>
    <t>Rappel des données d'entrée:</t>
  </si>
  <si>
    <t>Montant d'investissement prévu</t>
  </si>
  <si>
    <t>IDENTITE</t>
  </si>
  <si>
    <t>HYPOTHESES</t>
  </si>
  <si>
    <t>Exploitation</t>
  </si>
  <si>
    <t>Conception</t>
  </si>
  <si>
    <t>Réalisation</t>
  </si>
  <si>
    <t>Commissionnement</t>
  </si>
  <si>
    <t>RESULTATS</t>
  </si>
  <si>
    <t xml:space="preserve">Surface moyenne par logement </t>
  </si>
  <si>
    <t>Total logements</t>
  </si>
  <si>
    <t>Coût d'une rotation par logement</t>
  </si>
  <si>
    <t>3CL</t>
  </si>
  <si>
    <t>RT existant</t>
  </si>
  <si>
    <t>Montant des abonnements individuels</t>
  </si>
  <si>
    <t>DONNEES ATTRACTIVITE</t>
  </si>
  <si>
    <t>ATTRACTIVTE</t>
  </si>
  <si>
    <t>Durée d'amortissement des investissements (jusqu'à 60 ans)</t>
  </si>
  <si>
    <t>Taux d'actualisation des loyers</t>
  </si>
  <si>
    <t>Taux d'actualisation loyers net d'inflation</t>
  </si>
  <si>
    <t>Taux d'emprunt bancaire</t>
  </si>
  <si>
    <t>Durée d'emprunt bancaire</t>
  </si>
  <si>
    <t>Gestion administrative</t>
  </si>
  <si>
    <t>Travaux de remise en état</t>
  </si>
  <si>
    <t>Taux pondéré de rotation</t>
  </si>
  <si>
    <t>Taux pondéré de vacance</t>
  </si>
  <si>
    <t>Facture ou relève</t>
  </si>
  <si>
    <t>Consommations réelles globales (Chauff/ECS séparées)</t>
  </si>
  <si>
    <t>DONNEES ENERGETIQUE</t>
  </si>
  <si>
    <t>Prix de l'énergie</t>
  </si>
  <si>
    <t>Energie finale</t>
  </si>
  <si>
    <t>Emission CO2</t>
  </si>
  <si>
    <t>Usages (RT existant)</t>
  </si>
  <si>
    <t>Source des données de consommation utilisées pour le calcul de l'étiquette</t>
  </si>
  <si>
    <t>RESULTATS - METHODOLOGIE</t>
  </si>
  <si>
    <t>Chauffage (P2-P3)</t>
  </si>
  <si>
    <t>ECS (P2-P3)</t>
  </si>
  <si>
    <t>Ventilation (P2-P3)</t>
  </si>
  <si>
    <t xml:space="preserve">   dont P1 charges énergie collectif</t>
  </si>
  <si>
    <t xml:space="preserve">   dont P1 charges énergie individualisées</t>
  </si>
  <si>
    <t>Origine de la rénovation</t>
  </si>
  <si>
    <t>Note</t>
  </si>
  <si>
    <t>Démarche de labellisation environnementale</t>
  </si>
  <si>
    <t>Etendue de la mission de l'AMO</t>
  </si>
  <si>
    <t>Non, pas de démarche de labellisation environnementale</t>
  </si>
  <si>
    <t>Non, pas d'AMO</t>
  </si>
  <si>
    <t>Mission de la phase programmation à la réception</t>
  </si>
  <si>
    <t>Livrer un produit est une chose. Fournir une réalisation qui fonctionne comme attendu en est une autre</t>
  </si>
  <si>
    <t>Le commissionnement, puis le suivi durant 2 ans après GPA est indispensable à la réussite du projet</t>
  </si>
  <si>
    <t>Absence d'AMO</t>
  </si>
  <si>
    <t>Le suivi des résultat atteints et l'optimisation du projet sont indispensables à la réussite du projet</t>
  </si>
  <si>
    <t>Ajouter à la mission de MOE une mission de commissionnement</t>
  </si>
  <si>
    <t>Tout projet peut bénéficier d'une compétence et d'une expérience sur les aspects "durables"</t>
  </si>
  <si>
    <t>-</t>
  </si>
  <si>
    <t>Points critiques</t>
  </si>
  <si>
    <t>Anticiper les risques permet de les éviter</t>
  </si>
  <si>
    <t>La prestation de commissionnement doit être prévue et décrite au contrat de MOE</t>
  </si>
  <si>
    <t>étudier comment insérer dans les DPGF des entreprises le commissionnement (durée à prévoir)</t>
  </si>
  <si>
    <t>Choix des entreprises</t>
  </si>
  <si>
    <t>La non-qualité est la première cause de surcoûts en exploitation, entretien et maintenance</t>
  </si>
  <si>
    <t>Test étanchéité à l'air</t>
  </si>
  <si>
    <t>Aucun test n'est prévu</t>
  </si>
  <si>
    <t>Le test permet de vérifier la qualité globale des travaux</t>
  </si>
  <si>
    <t>L'objectif n'est pas un chiffre à atteindre, mais un niveau de qualité cohérent avec le projet</t>
  </si>
  <si>
    <t>Un test est prévu à la réception</t>
  </si>
  <si>
    <t>Au moment de la réception, il est souvent trop tard pour corriger avec efficacité les défauts</t>
  </si>
  <si>
    <t>Prévoir d'ajouter des tests en cours de travaux</t>
  </si>
  <si>
    <t>Thermographie</t>
  </si>
  <si>
    <t>Aucun contrôle n'est prévu</t>
  </si>
  <si>
    <t>Le contrôle permet de vérifier la qualité de ce qui est caché</t>
  </si>
  <si>
    <t>L'objectif est avant tout de sensibiliser les entreprises et les ouvriers, en "montrant" ce qui est caché</t>
  </si>
  <si>
    <t>Un contrôle est prévu à la réception</t>
  </si>
  <si>
    <t>Prévoir d'ajouter des contrôles en cours de travaux, et les moyens de mise en chauffe</t>
  </si>
  <si>
    <t>Un contrôle permet de déceler les défauts, pas de vérifier s'ils ont été corrigés</t>
  </si>
  <si>
    <t>Prévoir d'ajouter des contrôles complémentaires de contrôle en cours de travaux</t>
  </si>
  <si>
    <t>Plusieurs contrôles permettent de corriger, mais aussi de sensibiliser les entreprises et ouvriers</t>
  </si>
  <si>
    <t>Il est utile de préciser dans les CCTP que plusieurs contrôles seront réalisés en cours de chantier</t>
  </si>
  <si>
    <t>Suivi des déchets</t>
  </si>
  <si>
    <t>Aucun suivi n'est prévu</t>
  </si>
  <si>
    <t>Les déchets non suivis entrainent souvent des chantiers "sales" et peu performants</t>
  </si>
  <si>
    <t>Un chantier propre incite à travailler de manière plus soignée</t>
  </si>
  <si>
    <t>Sans commissionnement après réception, le bon fonctionnement n'est pas vérifié</t>
  </si>
  <si>
    <t>Prévoir une mission spécifique "commissionnement", pour la MOE et pour chaque entreprise</t>
  </si>
  <si>
    <t>Fixer des objectifs permet de vérifier que le commissionnement a été correctement fait</t>
  </si>
  <si>
    <t>Accorder un bonus, ou une prime, à l'atteinte des objectifs, peut être motivant</t>
  </si>
  <si>
    <t>Suivi des consommations</t>
  </si>
  <si>
    <t>Aucun suivi</t>
  </si>
  <si>
    <t>Connaitre la réalité du fonctionnement permet d'évaluer la pertinence des investissements</t>
  </si>
  <si>
    <t>Nécessite un outil ou un prestataire pour la  récupération des données</t>
  </si>
  <si>
    <t>Soumettre l'analyse annuelle des résultats à un professionnel - normaliser les rendus</t>
  </si>
  <si>
    <t>Consommateur de main d'œuvre, et présente la difficulté de l'accès aux compteurs</t>
  </si>
  <si>
    <t>étudier la possibilité de télérelève</t>
  </si>
  <si>
    <t>Entretien systèmes de régulation</t>
  </si>
  <si>
    <t>Le dysfonctionnement d'une régulation génère des surconsommations</t>
  </si>
  <si>
    <t>Contrôle annuel du fonctionnement</t>
  </si>
  <si>
    <t>Les économies d'énergie commencent par une régulation fonctionnelle</t>
  </si>
  <si>
    <t>A inclure dans l'entretien annuel d'un autre système (chaudière par exemple)</t>
  </si>
  <si>
    <t>Entretien avec suivi par échantillonnage</t>
  </si>
  <si>
    <t>Un suivi permet de mettre en évidence d'autres dysfonctionnements, et conseiller les usagers</t>
  </si>
  <si>
    <t>Mettre en place des enregistreurs thermiques sur des logements représentatifs</t>
  </si>
  <si>
    <t>Entretien systèmes de ventilation</t>
  </si>
  <si>
    <t>Aucun entretien</t>
  </si>
  <si>
    <t>Aboutit fréquemment à un non fonctionnement à terme</t>
  </si>
  <si>
    <t>Entretien à la demande</t>
  </si>
  <si>
    <t>Ne permet pas de déceler les dysfonctionnements cachés</t>
  </si>
  <si>
    <t>Entretien annuel des bouches</t>
  </si>
  <si>
    <t>Une ventilation en bon état permet de réduire les dégradations par l'humidité</t>
  </si>
  <si>
    <t>Entretien annuel des bouches et conduits</t>
  </si>
  <si>
    <t>Le nettoyage régulier des conduits assure la qualité sanitaire de l'air</t>
  </si>
  <si>
    <t>A traiter au besoin par un contrat spécifique d'entretien du réseau aérolique</t>
  </si>
  <si>
    <t>Suivi d'entretien des systèmes techniques</t>
  </si>
  <si>
    <t>L'entretien à la demande risque d'omettre les besoins cachés</t>
  </si>
  <si>
    <t>Il est nécessaire de procéder à un contrôle systématique des éléments cachés</t>
  </si>
  <si>
    <t>Entretien par contrats annuels</t>
  </si>
  <si>
    <t>La rédaction d'un contrat permet de lister l'ensemble des postes à suivre</t>
  </si>
  <si>
    <t>Faire établir le contenu technique du contrat par un professionnel</t>
  </si>
  <si>
    <t>Entretien par contrats annuels avec suivi d'exécution</t>
  </si>
  <si>
    <t>Le suivi d'exécution par un tiers permet de vérifier que les prestations sont faites dans les règles</t>
  </si>
  <si>
    <t>Faire établir un rapport annuel de suivi du contrat, avec recommandations sur son optimisation possible</t>
  </si>
  <si>
    <t>Montage du projet</t>
  </si>
  <si>
    <t xml:space="preserve">Surface habitable du bâtiment </t>
  </si>
  <si>
    <t>IDENTITE DU PROJET</t>
  </si>
  <si>
    <t>Solutions projet1</t>
  </si>
  <si>
    <t>Solutions projet 2</t>
  </si>
  <si>
    <t>Coût annuel de la rotation</t>
  </si>
  <si>
    <t>Coût annuel de la vacance</t>
  </si>
  <si>
    <t>Ratio des loyers par type d'appartement</t>
  </si>
  <si>
    <t>Loyers annuels actuels</t>
  </si>
  <si>
    <t>Prix de l'abonnement par logement</t>
  </si>
  <si>
    <t>Abonnements collectifs</t>
  </si>
  <si>
    <t>Abonnements individuels</t>
  </si>
  <si>
    <t>Prix de l'abonnement au bâtiment</t>
  </si>
  <si>
    <t>METHODOLOGIE</t>
  </si>
  <si>
    <t>BASE DE DONNEES METHODOLOGIE</t>
  </si>
  <si>
    <t>NOTE METHODOLOGIE - PROJET 1</t>
  </si>
  <si>
    <t>NOTE METHODOLOGIE - PROJET 2</t>
  </si>
  <si>
    <t>Durée de vie</t>
  </si>
  <si>
    <t>Coût annuel entretien</t>
  </si>
  <si>
    <t>Energie (abonnement)</t>
  </si>
  <si>
    <t>Energie (combustible)</t>
  </si>
  <si>
    <t>Coût annuel d'entretien/maintenance</t>
  </si>
  <si>
    <t>Surcoût des travaux</t>
  </si>
  <si>
    <t>Renouvellement</t>
  </si>
  <si>
    <t>Moyenne pondérée</t>
  </si>
  <si>
    <t>Revenus</t>
  </si>
  <si>
    <t>Aides</t>
  </si>
  <si>
    <t>Charges mensuelles d'un foyer type - EXISTANT</t>
  </si>
  <si>
    <t>Charges mensuelles d'un foyer type - PROJET 1</t>
  </si>
  <si>
    <t>Charges mensuelles d'un foyer type - PROJET 2</t>
  </si>
  <si>
    <t>Coût entretien</t>
  </si>
  <si>
    <t>Coût des travaux</t>
  </si>
  <si>
    <t>Récurrence Entretien</t>
  </si>
  <si>
    <t>Chages locataire - autres qu'énergies</t>
  </si>
  <si>
    <t>NOTE maximale</t>
  </si>
  <si>
    <t>Méthodologie perfectible</t>
  </si>
  <si>
    <t>Bonne méthodologie</t>
  </si>
  <si>
    <t>Surface de menuiserie</t>
  </si>
  <si>
    <t>Surface de toiture</t>
  </si>
  <si>
    <t>Surface murs - pignon</t>
  </si>
  <si>
    <t>Surface murs - façade</t>
  </si>
  <si>
    <t>GEOMETRIE DU BATI</t>
  </si>
  <si>
    <t>EQUIPEMENTS CVC</t>
  </si>
  <si>
    <t>RECAP EXISTANT</t>
  </si>
  <si>
    <t>RECAP PROJET 1</t>
  </si>
  <si>
    <t>RECAP PROJET 2</t>
  </si>
  <si>
    <t>Thèmes proposés</t>
  </si>
  <si>
    <t>Attractivité globale (note sur 20)</t>
  </si>
  <si>
    <t>Attractivité commerciale (note sur 5)</t>
  </si>
  <si>
    <t>Qualité urbaine (note sur 5)</t>
  </si>
  <si>
    <t>Fonctionnement social (note sur 5)</t>
  </si>
  <si>
    <t>Sécurité (note sur 5)</t>
  </si>
  <si>
    <t>……… (note sur 5)</t>
  </si>
  <si>
    <t>Impact de la méthodologie sur l'investissement</t>
  </si>
  <si>
    <t>Investissement impacté par la méthodologie</t>
  </si>
  <si>
    <t>IMPACT DE LA METHODOLOGIE SUR l'INVESTISSEMENT</t>
  </si>
  <si>
    <t>Entretien bâti</t>
  </si>
  <si>
    <t>Autres dépenses contraintes ménage</t>
  </si>
  <si>
    <t>Facture énergie locataire</t>
  </si>
  <si>
    <t>Renouvellement (bâti et équipements)</t>
  </si>
  <si>
    <t>Abonnements énergies locataire</t>
  </si>
  <si>
    <t>Mensuel</t>
  </si>
  <si>
    <t>Année</t>
  </si>
  <si>
    <t>communication (téléphone / intenet etc…)</t>
  </si>
  <si>
    <t>mobilité (transport, voiture, essence, assurance etc..)</t>
  </si>
  <si>
    <t>taxes (habitation / ménagère / redevance etc…)</t>
  </si>
  <si>
    <t>assurances (habitation)</t>
  </si>
  <si>
    <t>ENTRETIEN MAINTENANCE</t>
  </si>
  <si>
    <t>Energie abonnement - bailleur</t>
  </si>
  <si>
    <t>Energie combustible - bailleur</t>
  </si>
  <si>
    <t>Energie combustible - locataire</t>
  </si>
  <si>
    <t>Energie abonnement - locataire</t>
  </si>
  <si>
    <t>COUT GLOBAL décomposé Bailleur/Locataire - EXISTANT</t>
  </si>
  <si>
    <t>COUT GLOBAL décomposé Bailleur/Locataire - PROJET 1</t>
  </si>
  <si>
    <t>COUT GLOBAL décomposé Bailleur/Locataire - PROJET 2</t>
  </si>
  <si>
    <t>Etude architecturale</t>
  </si>
  <si>
    <t>DPE</t>
  </si>
  <si>
    <t>Audit énergétique</t>
  </si>
  <si>
    <t>Retour gestionnaire</t>
  </si>
  <si>
    <t>Enquête locataire</t>
  </si>
  <si>
    <t>Au moins 2 retours (audit, enquêtes etc.)</t>
  </si>
  <si>
    <t>Au moins 3 retours (audit, enquêtes etc.)</t>
  </si>
  <si>
    <t>Oui, démarche de labellisation environnementale prévue - Niveau standard</t>
  </si>
  <si>
    <t>Oui, démarche de labellisation environnementale prévue - Niveau performant</t>
  </si>
  <si>
    <t>Présence d'un AMO</t>
  </si>
  <si>
    <t>Oui, présence d'un AMO - compétence interne</t>
  </si>
  <si>
    <t>Oui, présence d'un AMO - compétence externe</t>
  </si>
  <si>
    <t>Mobilisation des services</t>
  </si>
  <si>
    <t>Existence d'un comité de pilotage en interne</t>
  </si>
  <si>
    <t>Conduite du projet par le pôle maîtrise d'ouvrage uniquement</t>
  </si>
  <si>
    <t>Plusieurs réunions de concertation inter-services prévues</t>
  </si>
  <si>
    <t xml:space="preserve">Mission de la phase programmation jusqu'au suivi du fonctionnement </t>
  </si>
  <si>
    <t>Présence ponctuelle (une à deux phases du projet)</t>
  </si>
  <si>
    <t>Compétences MOE</t>
  </si>
  <si>
    <t>Compétences "classiques" (archi, fluides, structure...)</t>
  </si>
  <si>
    <t>Etudes complémentaires prévues</t>
  </si>
  <si>
    <t>Autres compétences demandées (acoustique, paysagiste, socio, QE...)</t>
  </si>
  <si>
    <t>Notes d'opportunité et préfaisabilités énergies renouvelables affinées</t>
  </si>
  <si>
    <t>Etude d'approvisionnement en énergie réglementaire</t>
  </si>
  <si>
    <t>Objectif d'élaboration de points critiques tout au long du projet</t>
  </si>
  <si>
    <t>Pas de notion de points critiques clairement identifiée</t>
  </si>
  <si>
    <t>Pièces constitutives des dossiers de consultation</t>
  </si>
  <si>
    <t>Prise en compte des retours d'expérience RHEA</t>
  </si>
  <si>
    <t xml:space="preserve">Pas de référentiels précisés </t>
  </si>
  <si>
    <t>Référentiel label QE</t>
  </si>
  <si>
    <t>Un test est prévu avant et après travaux</t>
  </si>
  <si>
    <t>Un contrôle est prévu avant et après travaux</t>
  </si>
  <si>
    <t>Un contrôle est prévu avant travaux, après achèvement d'un échantillon et à la réception</t>
  </si>
  <si>
    <t>Un diagnostic initial est élaboré avec recherches de filières de traitement, en phase conception</t>
  </si>
  <si>
    <t>L'entreprise doit élaborer un SOGED</t>
  </si>
  <si>
    <t xml:space="preserve">Encadrement </t>
  </si>
  <si>
    <t>L'AMO rédige les objectifs MOE et entreprises avec un chiffrage correspondant</t>
  </si>
  <si>
    <t>Aucun commissionnement n'est prévu</t>
  </si>
  <si>
    <t>Réunions de chantier spécifiques prévues avec tous les interlocuteurs + journées d'intervention programmées</t>
  </si>
  <si>
    <t>Journées d'intervention programmées</t>
  </si>
  <si>
    <t>L'entreprise prévoit une mise en service simple par le fournisseur</t>
  </si>
  <si>
    <t>Volets persiennés PVC</t>
  </si>
  <si>
    <t>Volets persiennés métal</t>
  </si>
  <si>
    <t>Volets roulants PVC</t>
  </si>
  <si>
    <t>Volets bois traditionnels (sur charnières)</t>
  </si>
  <si>
    <t>Volets roulants alu</t>
  </si>
  <si>
    <t>Brise soleil à lames orientables</t>
  </si>
  <si>
    <t>Type d'occultation extérieure</t>
  </si>
  <si>
    <t>Mixte bois-alu DV</t>
  </si>
  <si>
    <t>PVC DV performant</t>
  </si>
  <si>
    <t>Aluminium DV performant</t>
  </si>
  <si>
    <t>Aluminium DV ancien</t>
  </si>
  <si>
    <t>Bois DV performant</t>
  </si>
  <si>
    <t>Bois DV ancien</t>
  </si>
  <si>
    <t>PVC DV ancien</t>
  </si>
  <si>
    <t>Oscillo-battant alu</t>
  </si>
  <si>
    <t>Oscillo-battant PVC</t>
  </si>
  <si>
    <t>Non oscillo-battant</t>
  </si>
  <si>
    <t>Critère prix supérieur à 60%</t>
  </si>
  <si>
    <t>Suivi automatique</t>
  </si>
  <si>
    <t>Suivi automatique par télérelevé et exploitation des données</t>
  </si>
  <si>
    <t xml:space="preserve">Suivi manuel </t>
  </si>
  <si>
    <t>Suivi manuel et exploitation des données</t>
  </si>
  <si>
    <t>Ratio energie finale</t>
  </si>
  <si>
    <t>Ratio energie primaire</t>
  </si>
  <si>
    <t>Individuel - Electrique - Tempo - 09 kVA</t>
  </si>
  <si>
    <t>Individuel - Electrique - Bleu HC - 09 kVA</t>
  </si>
  <si>
    <t>Individuel - Electrique - Bleu Base - 03 kVA</t>
  </si>
  <si>
    <t>Individuel - Electrique - Bleu Base - 06 kVA</t>
  </si>
  <si>
    <t>Individuel - Electrique - Bleu Base - 09 kVA</t>
  </si>
  <si>
    <t>Individuel - Electrique - Bleu HC - 06 kVA</t>
  </si>
  <si>
    <t xml:space="preserve">Technique isolation </t>
  </si>
  <si>
    <t>Mur béton non isolé</t>
  </si>
  <si>
    <t>ITE avec PSE et enduit</t>
  </si>
  <si>
    <t>ITE avec Laine de roche et bardage</t>
  </si>
  <si>
    <t>ITE avec isolant biosourcé (fibre de bois) et bardage</t>
  </si>
  <si>
    <t>Isolé en sous-face sur cave ou VS</t>
  </si>
  <si>
    <t>Collectif - Biomasse</t>
  </si>
  <si>
    <t xml:space="preserve">Collectif - Fioul </t>
  </si>
  <si>
    <t>Individuel - Electrique</t>
  </si>
  <si>
    <t>Collectif - Réseau de chaleur - chauffage urbain</t>
  </si>
  <si>
    <t xml:space="preserve">Collectif - Pompe à chaleur </t>
  </si>
  <si>
    <t xml:space="preserve">Individuel - Pompe à chaleur </t>
  </si>
  <si>
    <t>Collectif - gaz naturel</t>
  </si>
  <si>
    <t>Collectif - biomasse</t>
  </si>
  <si>
    <t xml:space="preserve">Collectif - gaz propane </t>
  </si>
  <si>
    <t>Collectif - Gaz naturel</t>
  </si>
  <si>
    <t>Individuel - Gaz naturel</t>
  </si>
  <si>
    <t>Collectif - réseau de chaleur - chauffage urbain</t>
  </si>
  <si>
    <t>Collectif - solaire thermique appoint gaz naturel</t>
  </si>
  <si>
    <t>Collectif - solaire thermique appoint électrique</t>
  </si>
  <si>
    <t>Inidviduel - CE Thermodynamique</t>
  </si>
  <si>
    <t xml:space="preserve">Individuel - CE électrique </t>
  </si>
  <si>
    <t xml:space="preserve">Individuel - CE gaz naturel </t>
  </si>
  <si>
    <t>Individuel - CE gaz propane</t>
  </si>
  <si>
    <t>Individuelle - caisson vmc simple flux</t>
  </si>
  <si>
    <t>Individuelle - ventilation naturelle</t>
  </si>
  <si>
    <t>Collective - système hybride / ventilation naturelle assistée</t>
  </si>
  <si>
    <t>Individuelle - caisson vmc double flux</t>
  </si>
  <si>
    <t>Type de menuiserie</t>
  </si>
  <si>
    <t xml:space="preserve">Collectif - Gaz propane </t>
  </si>
  <si>
    <t>Système production ECS</t>
  </si>
  <si>
    <t>Système de ventilation</t>
  </si>
  <si>
    <t>Coût global d'entretien/maintenance</t>
  </si>
  <si>
    <t>Investissement travaux global</t>
  </si>
  <si>
    <t>Quantité estimée</t>
  </si>
  <si>
    <t>Surface murs</t>
  </si>
  <si>
    <t>Investissement</t>
  </si>
  <si>
    <t>Entretien maintenance équipements</t>
  </si>
  <si>
    <t>BAILLEUR</t>
  </si>
  <si>
    <t>LOCATAIRE</t>
  </si>
  <si>
    <t>MENSUEL</t>
  </si>
  <si>
    <t>COÛT DE LA SOLUTION "Référence"</t>
  </si>
  <si>
    <t>NOTE METHODOLOGIE</t>
  </si>
  <si>
    <t>COMMENTAIRES &amp; NOTES</t>
  </si>
  <si>
    <t>Renouvellement global - Projet</t>
  </si>
  <si>
    <t>Renouvellement global - Existant</t>
  </si>
  <si>
    <t>Réseau de chaleur</t>
  </si>
  <si>
    <t>METHDOLOGIE</t>
  </si>
  <si>
    <t>IMPACT DE LA METHODOLOGIE SUR LES CONSOMMATIONS</t>
  </si>
  <si>
    <t>Système production chauffage</t>
  </si>
  <si>
    <t>Données descriptives de la résidence (géométrie + composition) + données de cadrage</t>
  </si>
  <si>
    <t>Description de la méthodologie mise en œuvre pour conduire le projet et son impact</t>
  </si>
  <si>
    <t>BATI-EQUIPEMENTS</t>
  </si>
  <si>
    <t>Description technique de l'existant et du projet</t>
  </si>
  <si>
    <t>Evaluation de l'impact du projet sur l'attractivité du site</t>
  </si>
  <si>
    <t>Données de consommations</t>
  </si>
  <si>
    <t>Valeur €HT/m² SHON - base 1er janvier 2015, selon la fiche d'application de la RT existante, venant compléter l'Article 3 de l'Arrêté du 13 juin 2008</t>
  </si>
  <si>
    <t>Enveloppe globale de travaux</t>
  </si>
  <si>
    <t>% à fixer par l'utilisateur</t>
  </si>
  <si>
    <t>Rappel Investissement initial</t>
  </si>
  <si>
    <t>rentrer le coût de chacune des solutions envisagées</t>
  </si>
  <si>
    <t>Collective - VMC</t>
  </si>
  <si>
    <t xml:space="preserve">Case "Global" fonctionne si le nombre global de logements est renseigné dans l'onglet IDENTITE </t>
  </si>
  <si>
    <t>Cases à remplir à partir des données énergétiques disponibles pour le site</t>
  </si>
  <si>
    <t xml:space="preserve">montant impacté par la note sur la METHODOLOGIE </t>
  </si>
  <si>
    <t xml:space="preserve">Ecart entre Existant et Projet  </t>
  </si>
  <si>
    <t>A renseigner par l'utilisateur</t>
  </si>
  <si>
    <t>Détail "Autres dépenses contraintes ménage"</t>
  </si>
  <si>
    <t>Prix de l'abonnement annuel</t>
  </si>
  <si>
    <t>NOTE METHODO "INVESTISSEMENT" MAX</t>
  </si>
  <si>
    <t>NOTE METHODO "CONSOMMATION" MAX</t>
  </si>
  <si>
    <t>BILAN METODOLOGIE - PROJET 2</t>
  </si>
  <si>
    <t>ACTUALISATION PRIX ENERGIE</t>
  </si>
  <si>
    <t>ACTUALISATION LOYER</t>
  </si>
  <si>
    <t>1-1 : Tableau d'entrée</t>
  </si>
  <si>
    <t>1-2 : Tableau composition résidence</t>
  </si>
  <si>
    <t>1-3 : Tableau géométrie et orientation des parois</t>
  </si>
  <si>
    <t>1-4 : Tableau estimation des surfaces des parois</t>
  </si>
  <si>
    <t>1-5 : Tableau de cadrage</t>
  </si>
  <si>
    <t>BASE DE DONNEES BATI-EQUIPEMENTS</t>
  </si>
  <si>
    <t>7-1 : Tableau des consommations</t>
  </si>
  <si>
    <t>DEPENSES ENERGETIQUES</t>
  </si>
  <si>
    <t>DONNEES ECONOMIQUES ENERGIE</t>
  </si>
  <si>
    <t>10-1 : Tableau prix de l'énergie / facteur de conversion</t>
  </si>
  <si>
    <t>10-2 : Tableau prix de l'abonnement collectif</t>
  </si>
  <si>
    <t>10-3 : Tableau prix de l'abonnement individuel</t>
  </si>
  <si>
    <t>Actualisation</t>
  </si>
  <si>
    <t>version 1.1</t>
  </si>
  <si>
    <t>Nombre d'abonnement</t>
  </si>
  <si>
    <t>Consommation annuelle de la résience par type</t>
  </si>
  <si>
    <t>Consommation annuelle individuelle par logement</t>
  </si>
  <si>
    <r>
      <t>Coef conversion CO</t>
    </r>
    <r>
      <rPr>
        <vertAlign val="subscript"/>
        <sz val="10"/>
        <rFont val="AvenirNext LT Pro Regular"/>
        <family val="2"/>
      </rPr>
      <t>2</t>
    </r>
  </si>
  <si>
    <t>7-3 : Etiquette énergie</t>
  </si>
  <si>
    <t>7-2 : Tableau calcul étiquette énergie</t>
  </si>
  <si>
    <t>7-4 : Tableau des énergies principales</t>
  </si>
  <si>
    <t>7-5: Tableau des abonnements énergétiques</t>
  </si>
  <si>
    <t>7-6 : Coût des énergies</t>
  </si>
  <si>
    <t>7-7 : Coût des énergies actualisées</t>
  </si>
  <si>
    <t>7-8 : Coûts énergétiques</t>
  </si>
  <si>
    <t>7-9 : Coûts énergétiques actualisés</t>
  </si>
  <si>
    <r>
      <t>Coef conversion CO</t>
    </r>
    <r>
      <rPr>
        <vertAlign val="subscript"/>
        <sz val="10"/>
        <rFont val="AvenirNext LT Pro Regular"/>
        <family val="2"/>
      </rPr>
      <t>2</t>
    </r>
    <r>
      <rPr>
        <sz val="10"/>
        <rFont val="AvenirNext LT Pro Regular"/>
        <family val="2"/>
      </rPr>
      <t xml:space="preserve"> (kg/kWh)</t>
    </r>
  </si>
  <si>
    <t>Coût de l'emprunt</t>
  </si>
  <si>
    <t>Montant de l'emprunt</t>
  </si>
  <si>
    <t>Montant emprunter</t>
  </si>
  <si>
    <t>Taux d'emrunt</t>
  </si>
  <si>
    <t>Mois d'intêret</t>
  </si>
  <si>
    <t>Capital remboursé</t>
  </si>
  <si>
    <t>EMPRUNT</t>
  </si>
  <si>
    <t>Mois</t>
  </si>
  <si>
    <t>Remboursement</t>
  </si>
  <si>
    <t>CAPITAL</t>
  </si>
  <si>
    <t>BAREME METHODOLOGIE</t>
  </si>
  <si>
    <t xml:space="preserve">6-1 :  Tableau des loyers de référence </t>
  </si>
  <si>
    <t>6-2 : Tableau des loyers cumulés actualisés</t>
  </si>
  <si>
    <t>6-3 : Tableau coût rotation par logement</t>
  </si>
  <si>
    <t>6-4 : Tableau taux de rotation annuel du bâtiment</t>
  </si>
  <si>
    <t>6-5 : Tableau taux de vacance des logements</t>
  </si>
  <si>
    <t>6-6 : Tableau "notation" de l'attractivité</t>
  </si>
  <si>
    <t>6-7 : Tableau moyenne pondérée rotation &amp; vacance</t>
  </si>
  <si>
    <t>6-8 : Tableau coût annuel rotation &amp; vacance</t>
  </si>
  <si>
    <t>Remboursement annuel</t>
  </si>
  <si>
    <t>Collectif - Electrique - Bleu Base - 06 kVA</t>
  </si>
  <si>
    <t>Collectif - Electrique - Bleu Base - 09 kVA</t>
  </si>
  <si>
    <t>Collectif - Electrique - Bleu Base - 12 kVA</t>
  </si>
  <si>
    <t>Collectif - Electrique - Jaune 156kVA</t>
  </si>
  <si>
    <t>Collectif - Electrique - Jaune 78kVA</t>
  </si>
  <si>
    <t>Collectif - Electrique - Jaune 192kVA</t>
  </si>
  <si>
    <t>Collectif - Electrique - Jaune 228kVA</t>
  </si>
  <si>
    <t>Collectif - Electrique - Jaune 42kVA</t>
  </si>
  <si>
    <t>Abonnement collectif électrique (2)</t>
  </si>
  <si>
    <t>Abonnement collectif électrique (1)</t>
  </si>
  <si>
    <t>Collectif - Electrique - Bleu Base - 15 kVA</t>
  </si>
  <si>
    <t>Collectif - Electrique - Bleu Base - 18 kVA</t>
  </si>
  <si>
    <t>Individuel - Electrique - Bleu Base - 15 kVA</t>
  </si>
  <si>
    <t>Individuel - Electrique - Bleu HC - 15 kVA</t>
  </si>
  <si>
    <t>Individuel - Electrique - Bleu HC - 18 kVA</t>
  </si>
  <si>
    <t>Individuel - Electrique - Bleu HC - 24 kVA</t>
  </si>
  <si>
    <t>Individuel - Electrique - Bleu HC - 30 kVA</t>
  </si>
  <si>
    <t>Individuel - Electrique - Bleu HC - 36 kVA</t>
  </si>
  <si>
    <t>Collectif - Electrique - Bleu Base - 24 kVA</t>
  </si>
  <si>
    <t>Collectif - Electrique - Bleu Base - 30 kVA</t>
  </si>
  <si>
    <t>Collectif - Electrique - Bleu Base - 36 kVA</t>
  </si>
  <si>
    <t>Individuel - Electrique - Bleu Base - 18 kVA</t>
  </si>
  <si>
    <t>Individuel - Electrique - Bleu Base - 24 kVA</t>
  </si>
  <si>
    <t>Individuel - Electrique - Bleu Base - 30 kVA</t>
  </si>
  <si>
    <t>Individuel - Electrique - Bleu Base - 36 kVA</t>
  </si>
  <si>
    <t>Individuel - Electrique - Tempo - 15 kVA</t>
  </si>
  <si>
    <t>Individuel - Electrique - Tempo - 18 kVA</t>
  </si>
  <si>
    <t>Individuel - Electrique - Tempo - 30 kVA</t>
  </si>
  <si>
    <t>Individuel - Electrique - Tempo - 36 kVA</t>
  </si>
  <si>
    <t>plus disponible à la souscription</t>
  </si>
  <si>
    <t>Prime fixe</t>
  </si>
  <si>
    <t>Durée d'emprunt (mois)</t>
  </si>
  <si>
    <t>Coût emprunt</t>
  </si>
  <si>
    <t>Loyer pour un T3</t>
  </si>
  <si>
    <t>Loyers cumulés et actualisés</t>
  </si>
  <si>
    <t>Loyers annuel actualisés</t>
  </si>
  <si>
    <t>Coût moyen d'un rafraichissement d'un appartement</t>
  </si>
  <si>
    <t>Taux de référence de rotation actuelle du site</t>
  </si>
  <si>
    <t>Taux de référence de vacance actuelle du site</t>
  </si>
  <si>
    <t>Taux de rotation impacté par l'attractivité</t>
  </si>
  <si>
    <t>Taux de vacance impacté par l'attractivité</t>
  </si>
  <si>
    <t>Coef conversion énergie primaire</t>
  </si>
  <si>
    <t>Collectif - Reseau de chaleur</t>
  </si>
  <si>
    <t>Individuel - Reseau de chaleur</t>
  </si>
  <si>
    <t>Abonnement collectif gaz / réseau de chaleur (1)</t>
  </si>
  <si>
    <t>Abonnement collectif gaz / réseau de chaleur (2)</t>
  </si>
  <si>
    <t>Abonnement individuel électrique (1)</t>
  </si>
  <si>
    <t>Abonnement individuel électrique (2)</t>
  </si>
  <si>
    <t>Abonnement individuel gaz / réseau de chaleur (1)</t>
  </si>
  <si>
    <t>Abonnement individuel gaz / réseau de chaleur (2)</t>
  </si>
  <si>
    <t>COLLECTIF</t>
  </si>
  <si>
    <t>INDIVIDUEL</t>
  </si>
  <si>
    <t>Coût des énergies actuelles (usages RT)
Au bâtiment</t>
  </si>
  <si>
    <t>Ratio du coût des énergies</t>
  </si>
  <si>
    <t>Coût des abonnements</t>
  </si>
  <si>
    <t xml:space="preserve">Energie collectif </t>
  </si>
  <si>
    <t>Energie individuel</t>
  </si>
  <si>
    <t>Coût des énergies actualisées (usages RT)
Au bâtiment</t>
  </si>
  <si>
    <t>Energie (collectif + individuel)</t>
  </si>
  <si>
    <t>Hausse prévisible - Inflation</t>
  </si>
  <si>
    <t>Un DPE réglementaire "seul" est insuffisant pour préparer un programme de travaux</t>
  </si>
  <si>
    <t>Compléter par des retours de terrain et des diagnostics complémentaires</t>
  </si>
  <si>
    <t>Approfonir éventuellement par des études complémentaires sur d'autres thématiques</t>
  </si>
  <si>
    <t>Permet d'avoir une vision exhaustive de la situation</t>
  </si>
  <si>
    <t>Apporte une bonne connaissance de la résidence</t>
  </si>
  <si>
    <t>Mettre en évidence les points bloquants  et s'informer des démarches possibles et de leurs bénéfices</t>
  </si>
  <si>
    <t xml:space="preserve">Faire ressortir les points qui permmetraient d'atteindre un niveau performant et évaluer leur moyens nécessaires à leur mise en oeuvre. </t>
  </si>
  <si>
    <t>Mobiliser les différents services qui auront un lien un jour ou l'autre avec les bâtiments et/ou les habitants</t>
  </si>
  <si>
    <t xml:space="preserve">Au fonction de la complexité du projet, cela peut nécessiter un investissement supplémentaire en interne pour mener à bien le projet </t>
  </si>
  <si>
    <t>Etudier la possibilité d'inclure une mission d'AMO au projet, même si le projet est déjà lancé</t>
  </si>
  <si>
    <t>Uns continuité de l'accompagnement sur toutes les phases augmente les chances de réussite du projet</t>
  </si>
  <si>
    <t xml:space="preserve"> - </t>
  </si>
  <si>
    <t xml:space="preserve">Evaluer et lister au mieux tous les risques futurs de dysfonctionnement et anticiper par un contrôle continu </t>
  </si>
  <si>
    <t>Il est recommandé d'inclure un minimum d'exigences au delà du réglementaire.</t>
  </si>
  <si>
    <t xml:space="preserve">N'est pas contraignant pour les prestataires </t>
  </si>
  <si>
    <t xml:space="preserve">Permet une sensibilisation du prestataire </t>
  </si>
  <si>
    <t>Minimum réglementaire</t>
  </si>
  <si>
    <t>Apporte une solidité aux choix de conception</t>
  </si>
  <si>
    <t>S'assurer de la cohérence des données fournies</t>
  </si>
  <si>
    <t>A adapter aux projets et situations</t>
  </si>
  <si>
    <t>Vérifier l'expérience de l'équipe notamment sur des opérations similaires - S'accompagner de spécialistes sur des domaines précis</t>
  </si>
  <si>
    <t>Références chantiers similaires et attestations MO prises en compte dans la notation</t>
  </si>
  <si>
    <t>Amène un minimum de garantie à la qualité de services</t>
  </si>
  <si>
    <t>Faire en sorte de ne pas se limiter aux affirmations des entreprises - demander des justificatifs</t>
  </si>
  <si>
    <t xml:space="preserve">Exiger des références solides. Vérifier les taux horaires et la pérénnité de l'entreprise.  </t>
  </si>
  <si>
    <t>Apporte un challenge aux acteurs</t>
  </si>
  <si>
    <t>Un test est prévu avant travaux, après achèvement d'un échantillon et à la réception</t>
  </si>
  <si>
    <t>Proposer des tests après lachèvement d'un échantillon</t>
  </si>
  <si>
    <t>Valoriser ces temps de travail et d'échanges</t>
  </si>
  <si>
    <t>Sensibilise l'entreprise sur les exigences du maître d'ouvrage</t>
  </si>
  <si>
    <t xml:space="preserve">Permet un travail </t>
  </si>
  <si>
    <t>Valoriser ce travail auprès des partenaires</t>
  </si>
  <si>
    <t>Vérifier l'exhaustivité des déchets pris en compte</t>
  </si>
  <si>
    <t>Etudier la mise en place d'un suivi régulier des consommations</t>
  </si>
  <si>
    <t>Etudier la faisabilité d'un entretien annuel</t>
  </si>
  <si>
    <t>Mettre en place un entretien préventif</t>
  </si>
  <si>
    <t>à privilégier dans les espaces de jour, circulations, pièces humides - prévoir une sous-face acoustique</t>
  </si>
  <si>
    <t>à réserver aux espaces de nuit, prévoir une maintenance décennale - prévoir une sous-face acoustique - supprime l'effet de "masse" d'un revêtement "dur"</t>
  </si>
  <si>
    <t>prévoir une maintenance décennale prévoir une sous-face acoustique - supprime l'effet de "masse" d'un revêtement "dur"</t>
  </si>
  <si>
    <t>à renouveler sur la durée de vie du bâtiment - prévoir une sous-face acoustique - supprime l'effet de "masse" d'un revêtement "dur"</t>
  </si>
  <si>
    <t>traiter le risque de bloquage de la vapeur d'eau</t>
  </si>
  <si>
    <t>cloisonnement étanche par rapport au volume intérieur - attention au risque incendie en cours de chantier</t>
  </si>
  <si>
    <t>Bois SV ancien</t>
  </si>
  <si>
    <t>bonne durée de vie - perd sa qualité si humide</t>
  </si>
  <si>
    <t>très dangereux en cas d'incendie</t>
  </si>
  <si>
    <t>très résistant, entretien nécessaire</t>
  </si>
  <si>
    <t>à privilégier pour les pièces de nuit - prévoir un entretien</t>
  </si>
  <si>
    <t>nécessite un entretien</t>
  </si>
  <si>
    <t>prévoir un entretien décennal</t>
  </si>
  <si>
    <t>confort élevé</t>
  </si>
  <si>
    <t>à préférer sur les façades entre sud et nord-ouest - envisager des volets à projection</t>
  </si>
  <si>
    <t>ne permet pas d'assurer une protection solaire et un éclairage naturel simultané</t>
  </si>
  <si>
    <t>nécessitent une maintenance régulière - envisager des volets à projection</t>
  </si>
  <si>
    <t xml:space="preserve">Type de toiture et d'isolation </t>
  </si>
  <si>
    <t>Toiture terrasse isolant PU étanchéité autoprotégée</t>
  </si>
  <si>
    <t>Toiture terrasse isolant PU protection gravillons</t>
  </si>
  <si>
    <t>Toiture terrasse isolant LR étanchéité autoprotégée</t>
  </si>
  <si>
    <t>Toiture terrasse isolant LR protection gravillons</t>
  </si>
  <si>
    <t>Toiture terrasse isolation inversée (ajout d'isolant sur étanchéité existante)</t>
  </si>
  <si>
    <t>Toiture tuile isolation sous-rampants</t>
  </si>
  <si>
    <t>Existant Toiture terrasse non ou faiblement isolé</t>
  </si>
  <si>
    <t>Existant Toiture tuile non ou faiblement isolé</t>
  </si>
  <si>
    <t>Toiture tuile isolant biosourcé par soufflage</t>
  </si>
  <si>
    <t>Toiture tuile isolant laine minérale par soufflage</t>
  </si>
  <si>
    <t>Toiture tuile isolant laine minérale par panneaux</t>
  </si>
  <si>
    <t>Toiture végétalisée</t>
  </si>
  <si>
    <t>prévoir une isolation thermique</t>
  </si>
  <si>
    <t>Toiture tuile isolant biosourcé par panneaux rigides ou semi-rigides</t>
  </si>
  <si>
    <t>prévoir un platelage pour la circulation dans les combles</t>
  </si>
  <si>
    <t xml:space="preserve">permet un stockage de CO2 - permet un déphasage </t>
  </si>
  <si>
    <t>gérer l'humidité - prévoir un platelage pour la circulation dans les combles</t>
  </si>
  <si>
    <t>prévoir un entretien de la couche de protection de l'isolant</t>
  </si>
  <si>
    <t>gain sur le confort d'été si toiture arrosée</t>
  </si>
  <si>
    <t>prévoir un entretien</t>
  </si>
  <si>
    <t>l'isolant est soumis aux aléas climatiques</t>
  </si>
  <si>
    <t>bon bilan carbone - Nécessite une distribution collective</t>
  </si>
  <si>
    <t>bien traiter l'isolation des réseaux collectifs - la conception de l'équipement doit être traitée avec attention</t>
  </si>
  <si>
    <t>l'entretien nécessite une entreprise habilitée pour la manipulation des fluides frigorigènes</t>
  </si>
  <si>
    <t>à coordonner avec le concessionnaire</t>
  </si>
  <si>
    <t>coût du combustible fluctuant - mauvais bilan carbone</t>
  </si>
  <si>
    <t>coût du combustible élevé - mauvais bilan carbone</t>
  </si>
  <si>
    <t>prévoir la gestion de l'entretien individuel des chaudières</t>
  </si>
  <si>
    <t>prévoir la gestion de l'entretien individuel réglementaire des chaudières</t>
  </si>
  <si>
    <t>risque de nuisances acoustiques</t>
  </si>
  <si>
    <t>difficulté à réguler - maintenance impossible - confort</t>
  </si>
  <si>
    <t>solution traditionnelle - équilibrage nécessaire</t>
  </si>
  <si>
    <t>ajouter un programmateur -  position du thermostat dans les pièces froides</t>
  </si>
  <si>
    <t>coût de l'énergie en hausse - bilan écologique discutable</t>
  </si>
  <si>
    <t>Prévoir pour les résidents une assistance pour la prise en main et le réglage</t>
  </si>
  <si>
    <t xml:space="preserve">vérifier l'état de la distribution et l'équilibrage et sur-isoler la distribution et le retour de boucle </t>
  </si>
  <si>
    <t>ne permet pas un arrêt de l'installation l'été pour un nettoyage complet sauf si appoint</t>
  </si>
  <si>
    <t>risque de surchauffe en été - économique mais entretien annuel "indispensable" - impose gros stockage</t>
  </si>
  <si>
    <t>imposer capteurs &gt; 45°, si possible &gt; 60° - attention à la prise au vent - proscrire les tubes sous vide - prévoir une conception soignée et un prestataire qualifié</t>
  </si>
  <si>
    <t xml:space="preserve">ne pas surdimensionner les volumes de stockage - rappel consommation ECS= 35l par jour par personne à 55°C. </t>
  </si>
  <si>
    <t>prévoir la gestion de l'entretien individuel réglementaire du chauffe-eau</t>
  </si>
  <si>
    <t>risque de nuisance acoustique - volumineux - nécessite un fort volume d'air</t>
  </si>
  <si>
    <t>maintenance régulière indispensable - faire attention aux nuisances acoustiques</t>
  </si>
  <si>
    <t>Collective - ventilation mécanique basse pression</t>
  </si>
  <si>
    <t>dépend de la configuration des conduits existants et des souches en toiture</t>
  </si>
  <si>
    <t>peut nécessiter un tubage des conduits existants</t>
  </si>
  <si>
    <t>prévoir un entretien annuel</t>
  </si>
  <si>
    <t>peu adapté en logement collectif - nécessite un volume technique important</t>
  </si>
  <si>
    <t>économique mais nécessite une gestion par l'occupant</t>
  </si>
  <si>
    <t>nettoyage annuel des bouches de ventilation et associer à la mise en place d'entrées d'air dans les menuiseries</t>
  </si>
  <si>
    <t>Somme restant à rembourser</t>
  </si>
  <si>
    <t>BILAN METHODOLOGIE - PROJET 1</t>
  </si>
  <si>
    <t>BD_BATI-EQUIPEMENTS</t>
  </si>
  <si>
    <t>ACTUALISATION</t>
  </si>
  <si>
    <t>ONGLET ROUGE</t>
  </si>
  <si>
    <t>ONGLET JAUNE</t>
  </si>
  <si>
    <t>ONGLET A RENSEIGNER</t>
  </si>
  <si>
    <t>ONGLET VIOLET</t>
  </si>
  <si>
    <t>Solution de référence</t>
  </si>
  <si>
    <t>valeurs données à titre indicatif</t>
  </si>
  <si>
    <t>RESULTATS - RESTE POUR VIVRE par mois</t>
  </si>
  <si>
    <t>Type d'abonnement collectif</t>
  </si>
  <si>
    <t>Type d'abonnement individuel</t>
  </si>
  <si>
    <t>BD_METHODOLOGIE</t>
  </si>
  <si>
    <t>6-9 : Tableau coût rotation &amp; vacance actualisée</t>
  </si>
  <si>
    <t>Impression en A3</t>
  </si>
  <si>
    <t>Impression en A4</t>
  </si>
  <si>
    <t>Résidence</t>
  </si>
  <si>
    <t>montant impacté par la note sur la METHODOLOGIE + surcoût</t>
  </si>
  <si>
    <t>Sortie imprimante</t>
  </si>
  <si>
    <t>Impact de la méthodologie sur la consommation</t>
  </si>
  <si>
    <t>Programmation</t>
  </si>
  <si>
    <t>Bdm</t>
  </si>
  <si>
    <t>Coût de la rotation sur la période d'observation</t>
  </si>
  <si>
    <t>Coût de la vacance sur la période d'observation</t>
  </si>
  <si>
    <t>ONGLET BASE DE DONNEES - Cellules vérrouillées</t>
  </si>
  <si>
    <t>ONGLET RESULTATS ET GRAPHIQUES - Cellules vérrouillées (sauf celles en jaune)</t>
  </si>
  <si>
    <t>Base de données méthodologie - onglet vérouillé (modifiable avec mot de passe)</t>
  </si>
  <si>
    <t>Base de données Bâti et équipements - onglet vérouillé (modifiable avec mot de passe)</t>
  </si>
  <si>
    <t>Tableaux de résultats - onglet vérouillé (modifiable avec mot de passe)</t>
  </si>
  <si>
    <t>Visualisation graphique des résultats - onglet vérouillé (modifiable avec mot de passe)</t>
  </si>
  <si>
    <t>Hypothèses de calculs, modifiables - onglet vérouillé (modifiable avec mot de passe)</t>
  </si>
  <si>
    <t>Actualisation des loyers et des prix de l'énergie - onglet vérouillé (modifiable avec mot de passe)</t>
  </si>
  <si>
    <t>Calcul de l'intérêt de l'emprunt - onglet vérouillé (modifiable avec mot de passe)</t>
  </si>
  <si>
    <t>GenerBD RHEA</t>
  </si>
  <si>
    <t>Cet outil est mis gracieusement à disposition par l'association envirobatBDM</t>
  </si>
  <si>
    <r>
      <rPr>
        <sz val="10"/>
        <color indexed="30"/>
        <rFont val="AvenirNext LT Pro Regular"/>
        <family val="2"/>
      </rPr>
      <t xml:space="preserve">des propositions d'améliorations, envoyez les à </t>
    </r>
    <r>
      <rPr>
        <b/>
        <sz val="10"/>
        <color indexed="30"/>
        <rFont val="AvenirNext LT Pro Regular"/>
        <family val="2"/>
      </rPr>
      <t>contact@envirobatbdm.eu</t>
    </r>
  </si>
  <si>
    <t>L'utilisation de cet outil est réservée à un usage non commercial, ponctuel, destiné exclusivement à valoriser une démarche de construction ou de réhabilitation durable sur un bâtiment nommément désigné.
L'utilisation publique de tout ou partie des données et résultats de cet outil est strictement limitée à sa présentation et à sa promotion, dans un but non lucratif, et doit clairement mentionner le nom de ses auteurs et de l'association Envirobat-BDM.
La vente de cet outil ou de tout ou partie des résultats obtenus par l'utilisation de cet outil est strictement prohibée, sous quelque forme que ce soit, en application de la licence d'usage accordée.
La modification, la suppression ou l'extraction d'éléments quelconques de cet outil est interdite.
La diffusion sous quelque forme que ce soit de résultats émanant de cet outil doit mentionner l'outil utilisé, le nom de ses auteurs et de l'association EnvirobatBDM, et indiquer le lien vers son site internet :</t>
  </si>
  <si>
    <t>http://www.envirobatbdm.eu/</t>
  </si>
  <si>
    <t xml:space="preserve">Nota : cet outil est une ébauche d'outil d'aide à la décision pour des réhabilitations durables. Si vous souhaitez faire </t>
  </si>
  <si>
    <t xml:space="preserve">Autres dépenses contraintes ménage </t>
  </si>
  <si>
    <t>(cf. détail ci-dessous)</t>
  </si>
  <si>
    <t>Economie par rapport à l'existant</t>
  </si>
  <si>
    <t>GRAPHIQUES - A3</t>
  </si>
  <si>
    <t>GRAPH-1 - A4</t>
  </si>
  <si>
    <t>GRAPH-2- A4</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</si>
</sst>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8" formatCode="#,##0.00\ &quot;€&quot;;[Red]\-#,##0.00\ &quot;€&quot;"/>
    <numFmt numFmtId="44" formatCode="_-* #,##0.00\ &quot;€&quot;_-;\-* #,##0.00\ &quot;€&quot;_-;_-* &quot;-&quot;??\ &quot;€&quot;_-;_-@_-"/>
    <numFmt numFmtId="43" formatCode="_-* #,##0.00\ _€_-;\-* #,##0.00\ _€_-;_-* &quot;-&quot;??\ _€_-;_-@_-"/>
    <numFmt numFmtId="164" formatCode="###&quot; m²/log&quot;"/>
    <numFmt numFmtId="165" formatCode="#,###&quot; €/m²&quot;"/>
    <numFmt numFmtId="166" formatCode="#,###\ &quot;€&quot;"/>
    <numFmt numFmtId="167" formatCode="#,###&quot; m²&quot;"/>
    <numFmt numFmtId="168" formatCode="###.##&quot; €/m²&quot;"/>
    <numFmt numFmtId="169" formatCode="0.###&quot; €/kWh&quot;"/>
    <numFmt numFmtId="170" formatCode="#,###&quot; kWhef&quot;"/>
    <numFmt numFmtId="171" formatCode="0.###&quot; kg/kWh&quot;"/>
    <numFmt numFmtId="172" formatCode="###&quot; kWhep/m²&quot;"/>
    <numFmt numFmtId="173" formatCode="#0.0&quot; kgCO2/m²&quot;"/>
    <numFmt numFmtId="174" formatCode="###&quot; kWhef/m²&quot;"/>
    <numFmt numFmtId="175" formatCode="0.0000"/>
    <numFmt numFmtId="176" formatCode="0.0%"/>
    <numFmt numFmtId="177" formatCode="0&quot; ans&quot;"/>
    <numFmt numFmtId="178" formatCode="###&quot; ans&quot;"/>
    <numFmt numFmtId="179" formatCode="#,###&quot; €TTC/m²&quot;"/>
    <numFmt numFmtId="180" formatCode="#,###&quot; €TTC&quot;"/>
    <numFmt numFmtId="181" formatCode="#,###&quot; m&quot;"/>
    <numFmt numFmtId="182" formatCode="#0.0&quot; / 5,0&quot;"/>
    <numFmt numFmtId="183" formatCode="#0.0&quot; / 20,0&quot;"/>
    <numFmt numFmtId="184" formatCode="0.###&quot; €TTC/kWh&quot;"/>
    <numFmt numFmtId="185" formatCode="#,##0.00&quot; €/(m².an)&quot;"/>
    <numFmt numFmtId="186" formatCode="#,##0.00_ ;\-#,##0.00\ "/>
    <numFmt numFmtId="187" formatCode="###.0#&quot; €TTC&quot;"/>
    <numFmt numFmtId="188" formatCode="#,##0.0&quot; €/m²&quot;"/>
    <numFmt numFmtId="189" formatCode="#,##0&quot; €/lgt&quot;"/>
    <numFmt numFmtId="190" formatCode="#,##0&quot; €/sys&quot;"/>
    <numFmt numFmtId="191" formatCode="#,##0\ &quot;€&quot;"/>
    <numFmt numFmtId="192" formatCode="#0.0&quot; / 30,0&quot;"/>
    <numFmt numFmtId="193" formatCode="#,##0.00\ &quot;€&quot;"/>
    <numFmt numFmtId="194" formatCode="#,##0.00&quot; €TTC&quot;"/>
  </numFmts>
  <fonts count="57" x14ac:knownFonts="1">
    <font>
      <sz val="10"/>
      <color theme="1"/>
      <name val="AvenirNext LT Pro Regular"/>
      <family val="2"/>
    </font>
    <font>
      <sz val="10"/>
      <name val="AvenirNext LT Pro Regular"/>
      <family val="2"/>
    </font>
    <font>
      <sz val="10"/>
      <name val="AvenirNext LT Pro Regular"/>
      <family val="2"/>
    </font>
    <font>
      <sz val="10"/>
      <name val="AvenirNext LT Pro Regular"/>
      <family val="2"/>
    </font>
    <font>
      <sz val="10"/>
      <name val="AvenirNext LT Pro Regular"/>
      <family val="2"/>
    </font>
    <font>
      <sz val="10"/>
      <name val="Arial"/>
      <family val="2"/>
    </font>
    <font>
      <u/>
      <sz val="10"/>
      <color indexed="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0"/>
      <color indexed="8"/>
      <name val="Arial Narrow"/>
      <family val="2"/>
    </font>
    <font>
      <sz val="11"/>
      <color theme="1"/>
      <name val="Calibri"/>
      <family val="2"/>
      <scheme val="minor"/>
    </font>
    <font>
      <sz val="11"/>
      <color indexed="60"/>
      <name val="Calibri"/>
      <family val="2"/>
    </font>
    <font>
      <sz val="10"/>
      <color indexed="72"/>
      <name val="Verdana"/>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theme="1"/>
      <name val="AvenirNext LT Pro Regular"/>
      <family val="2"/>
    </font>
    <font>
      <sz val="10"/>
      <color rgb="FFFF0000"/>
      <name val="AvenirNext LT Pro Regular"/>
      <family val="2"/>
    </font>
    <font>
      <b/>
      <sz val="10"/>
      <color theme="1"/>
      <name val="AvenirNext LT Pro Regular"/>
      <family val="2"/>
    </font>
    <font>
      <b/>
      <sz val="10"/>
      <name val="AvenirNext LT Pro Regular"/>
      <family val="2"/>
    </font>
    <font>
      <sz val="10"/>
      <name val="AvenirNext LT Pro Regular"/>
      <family val="2"/>
    </font>
    <font>
      <b/>
      <u/>
      <sz val="10"/>
      <name val="AvenirNext LT Pro Regular"/>
      <family val="2"/>
    </font>
    <font>
      <b/>
      <i/>
      <sz val="10"/>
      <name val="AvenirNext LT Pro Regular"/>
      <family val="2"/>
    </font>
    <font>
      <sz val="10"/>
      <color indexed="30"/>
      <name val="AvenirNext LT Pro Regular"/>
      <family val="2"/>
    </font>
    <font>
      <b/>
      <sz val="10"/>
      <color indexed="30"/>
      <name val="AvenirNext LT Pro Regular"/>
      <family val="2"/>
    </font>
    <font>
      <u/>
      <sz val="10"/>
      <color indexed="12"/>
      <name val="AvenirNext LT Pro Regular"/>
      <family val="2"/>
    </font>
    <font>
      <b/>
      <sz val="10"/>
      <color indexed="8"/>
      <name val="AvenirNext LT Pro Regular"/>
      <family val="2"/>
    </font>
    <font>
      <sz val="10"/>
      <color indexed="8"/>
      <name val="AvenirNext LT Pro Regular"/>
      <family val="2"/>
    </font>
    <font>
      <b/>
      <u/>
      <sz val="10"/>
      <color indexed="8"/>
      <name val="AvenirNext LT Pro Regular"/>
      <family val="2"/>
    </font>
    <font>
      <vertAlign val="superscript"/>
      <sz val="10"/>
      <color theme="1"/>
      <name val="AvenirNext LT Pro Regular"/>
      <family val="2"/>
    </font>
    <font>
      <b/>
      <u/>
      <sz val="10"/>
      <color theme="1"/>
      <name val="AvenirNext LT Pro Regular"/>
      <family val="2"/>
    </font>
    <font>
      <u/>
      <sz val="11"/>
      <color theme="10"/>
      <name val="Calibri"/>
      <family val="2"/>
      <scheme val="minor"/>
    </font>
    <font>
      <i/>
      <sz val="10"/>
      <color theme="1"/>
      <name val="AvenirNext LT Pro Regular"/>
      <family val="2"/>
    </font>
    <font>
      <sz val="10"/>
      <color theme="0" tint="-0.249977111117893"/>
      <name val="AvenirNext LT Pro Regular"/>
      <family val="2"/>
    </font>
    <font>
      <i/>
      <sz val="10"/>
      <name val="AvenirNext LT Pro Regular"/>
      <family val="2"/>
    </font>
    <font>
      <b/>
      <i/>
      <sz val="10"/>
      <color theme="1"/>
      <name val="AvenirNext LT Pro Regular"/>
      <family val="2"/>
    </font>
    <font>
      <sz val="9"/>
      <name val="AvenirNext LT Pro Regular"/>
      <family val="2"/>
    </font>
    <font>
      <vertAlign val="subscript"/>
      <sz val="10"/>
      <name val="AvenirNext LT Pro Regular"/>
      <family val="2"/>
    </font>
    <font>
      <sz val="9"/>
      <color theme="0"/>
      <name val="AvenirNext LT Pro Regular"/>
      <family val="2"/>
    </font>
    <font>
      <sz val="12"/>
      <color theme="1"/>
      <name val="AvenirNext LT Pro Regular"/>
      <family val="2"/>
    </font>
    <font>
      <b/>
      <sz val="12"/>
      <color theme="1"/>
      <name val="AvenirNext LT Pro Regular"/>
      <family val="2"/>
    </font>
    <font>
      <sz val="12"/>
      <name val="AvenirNext LT Pro Regular"/>
      <family val="2"/>
    </font>
    <font>
      <b/>
      <sz val="12"/>
      <name val="AvenirNext LT Pro Regular"/>
      <family val="2"/>
    </font>
    <font>
      <sz val="8"/>
      <color theme="0" tint="-0.14999847407452621"/>
      <name val="AvenirNext LT Pro Regular"/>
      <family val="2"/>
    </font>
    <font>
      <sz val="10"/>
      <color theme="0"/>
      <name val="AvenirNext LT Pro Regular"/>
      <family val="2"/>
    </font>
    <font>
      <i/>
      <u/>
      <sz val="10"/>
      <name val="AvenirNext LT Pro Regula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6EC5D7"/>
        <bgColor indexed="64"/>
      </patternFill>
    </fill>
    <fill>
      <patternFill patternType="solid">
        <fgColor theme="9" tint="0.79998168889431442"/>
        <bgColor indexed="64"/>
      </patternFill>
    </fill>
    <fill>
      <patternFill patternType="solid">
        <fgColor rgb="FFFF0000"/>
        <bgColor indexed="64"/>
      </patternFill>
    </fill>
    <fill>
      <patternFill patternType="solid">
        <fgColor theme="7" tint="0.39997558519241921"/>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diagonalUp="1" diagonalDown="1">
      <left/>
      <right style="thin">
        <color indexed="64"/>
      </right>
      <top style="thin">
        <color indexed="64"/>
      </top>
      <bottom style="thin">
        <color indexed="64"/>
      </bottom>
      <diagonal style="thin">
        <color indexed="64"/>
      </diagonal>
    </border>
    <border>
      <left/>
      <right/>
      <top/>
      <bottom style="medium">
        <color auto="1"/>
      </bottom>
      <diagonal/>
    </border>
    <border>
      <left/>
      <right style="medium">
        <color indexed="64"/>
      </right>
      <top/>
      <bottom style="medium">
        <color auto="1"/>
      </bottom>
      <diagonal/>
    </border>
    <border>
      <left/>
      <right style="medium">
        <color indexed="64"/>
      </right>
      <top style="medium">
        <color auto="1"/>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auto="1"/>
      </top>
      <bottom/>
      <diagonal/>
    </border>
    <border>
      <left/>
      <right/>
      <top style="thin">
        <color auto="1"/>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diagonal/>
    </border>
    <border diagonalUp="1" diagonalDown="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auto="1"/>
      </right>
      <top/>
      <bottom style="medium">
        <color indexed="64"/>
      </bottom>
      <diagonal/>
    </border>
    <border>
      <left style="thin">
        <color auto="1"/>
      </left>
      <right/>
      <top/>
      <bottom style="medium">
        <color indexed="64"/>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thin">
        <color indexed="64"/>
      </left>
      <right style="medium">
        <color indexed="64"/>
      </right>
      <top style="medium">
        <color auto="1"/>
      </top>
      <bottom/>
      <diagonal/>
    </border>
    <border>
      <left/>
      <right style="thin">
        <color indexed="64"/>
      </right>
      <top style="medium">
        <color auto="1"/>
      </top>
      <bottom/>
      <diagonal/>
    </border>
    <border>
      <left/>
      <right style="medium">
        <color indexed="64"/>
      </right>
      <top/>
      <bottom style="medium">
        <color indexed="64"/>
      </bottom>
      <diagonal/>
    </border>
    <border>
      <left/>
      <right/>
      <top/>
      <bottom style="medium">
        <color indexed="64"/>
      </bottom>
      <diagonal/>
    </border>
    <border>
      <left/>
      <right style="double">
        <color auto="1"/>
      </right>
      <top style="medium">
        <color indexed="64"/>
      </top>
      <bottom/>
      <diagonal/>
    </border>
    <border>
      <left style="double">
        <color auto="1"/>
      </left>
      <right/>
      <top style="medium">
        <color indexed="64"/>
      </top>
      <bottom/>
      <diagonal/>
    </border>
    <border>
      <left style="thin">
        <color indexed="64"/>
      </left>
      <right style="double">
        <color auto="1"/>
      </right>
      <top/>
      <bottom style="thin">
        <color indexed="64"/>
      </bottom>
      <diagonal/>
    </border>
    <border>
      <left style="double">
        <color auto="1"/>
      </left>
      <right style="thin">
        <color indexed="64"/>
      </right>
      <top/>
      <bottom style="thin">
        <color indexed="64"/>
      </bottom>
      <diagonal/>
    </border>
    <border>
      <left style="thin">
        <color indexed="64"/>
      </left>
      <right style="double">
        <color auto="1"/>
      </right>
      <top style="thin">
        <color indexed="64"/>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double">
        <color auto="1"/>
      </right>
      <top/>
      <bottom/>
      <diagonal/>
    </border>
    <border>
      <left style="double">
        <color auto="1"/>
      </left>
      <right style="thin">
        <color indexed="64"/>
      </right>
      <top/>
      <bottom/>
      <diagonal/>
    </border>
    <border>
      <left style="medium">
        <color indexed="64"/>
      </left>
      <right style="double">
        <color auto="1"/>
      </right>
      <top style="thin">
        <color indexed="64"/>
      </top>
      <bottom style="thin">
        <color indexed="64"/>
      </bottom>
      <diagonal/>
    </border>
    <border>
      <left style="thin">
        <color auto="1"/>
      </left>
      <right style="hair">
        <color auto="1"/>
      </right>
      <top/>
      <bottom style="medium">
        <color indexed="64"/>
      </bottom>
      <diagonal/>
    </border>
    <border>
      <left style="hair">
        <color auto="1"/>
      </left>
      <right style="thin">
        <color auto="1"/>
      </right>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style="thin">
        <color indexed="64"/>
      </bottom>
      <diagonal/>
    </border>
    <border>
      <left style="hair">
        <color auto="1"/>
      </left>
      <right style="thin">
        <color auto="1"/>
      </right>
      <top/>
      <bottom style="thin">
        <color indexed="64"/>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style="medium">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thin">
        <color indexed="64"/>
      </bottom>
      <diagonal/>
    </border>
    <border>
      <left style="hair">
        <color auto="1"/>
      </left>
      <right style="hair">
        <color auto="1"/>
      </right>
      <top style="hair">
        <color auto="1"/>
      </top>
      <bottom/>
      <diagonal/>
    </border>
    <border>
      <left style="hair">
        <color auto="1"/>
      </left>
      <right/>
      <top/>
      <bottom style="medium">
        <color indexed="64"/>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bottom style="thin">
        <color indexed="64"/>
      </bottom>
      <diagonal/>
    </border>
    <border>
      <left style="hair">
        <color auto="1"/>
      </left>
      <right/>
      <top style="hair">
        <color auto="1"/>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diagonal/>
    </border>
    <border>
      <left style="medium">
        <color indexed="64"/>
      </left>
      <right style="double">
        <color indexed="64"/>
      </right>
      <top style="medium">
        <color auto="1"/>
      </top>
      <bottom/>
      <diagonal/>
    </border>
    <border>
      <left style="medium">
        <color indexed="64"/>
      </left>
      <right style="thin">
        <color indexed="64"/>
      </right>
      <top style="thin">
        <color indexed="64"/>
      </top>
      <bottom style="thin">
        <color indexed="64"/>
      </bottom>
      <diagonal/>
    </border>
    <border diagonalUp="1" diagonalDown="1">
      <left style="medium">
        <color auto="1"/>
      </left>
      <right style="thin">
        <color indexed="64"/>
      </right>
      <top style="double">
        <color auto="1"/>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medium">
        <color auto="1"/>
      </right>
      <top style="thin">
        <color auto="1"/>
      </top>
      <bottom style="double">
        <color auto="1"/>
      </bottom>
      <diagonal/>
    </border>
    <border>
      <left/>
      <right/>
      <top style="double">
        <color indexed="64"/>
      </top>
      <bottom style="thin">
        <color indexed="64"/>
      </bottom>
      <diagonal/>
    </border>
    <border>
      <left style="medium">
        <color auto="1"/>
      </left>
      <right/>
      <top style="thin">
        <color indexed="64"/>
      </top>
      <bottom style="double">
        <color auto="1"/>
      </bottom>
      <diagonal/>
    </border>
    <border>
      <left style="medium">
        <color indexed="64"/>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auto="1"/>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auto="1"/>
      </top>
      <bottom style="medium">
        <color auto="1"/>
      </bottom>
      <diagonal/>
    </border>
  </borders>
  <cellStyleXfs count="61">
    <xf numFmtId="0" fontId="0" fillId="0" borderId="0"/>
    <xf numFmtId="0" fontId="5" fillId="0" borderId="0"/>
    <xf numFmtId="0" fontId="6" fillId="0" borderId="0" applyNumberFormat="0" applyFill="0" applyBorder="0" applyAlignment="0" applyProtection="0">
      <alignment vertical="top"/>
      <protection locked="0"/>
    </xf>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9" fillId="0" borderId="0" applyNumberFormat="0" applyFill="0" applyBorder="0" applyAlignment="0" applyProtection="0"/>
    <xf numFmtId="0" fontId="10" fillId="24" borderId="16" applyNumberFormat="0" applyAlignment="0" applyProtection="0"/>
    <xf numFmtId="0" fontId="11" fillId="0" borderId="17" applyNumberFormat="0" applyFill="0" applyAlignment="0" applyProtection="0"/>
    <xf numFmtId="0" fontId="5" fillId="25" borderId="18" applyNumberFormat="0" applyFont="0" applyAlignment="0" applyProtection="0"/>
    <xf numFmtId="0" fontId="12" fillId="11" borderId="16" applyNumberFormat="0" applyAlignment="0" applyProtection="0"/>
    <xf numFmtId="0" fontId="5" fillId="0" borderId="0" applyFont="0" applyFill="0" applyBorder="0" applyAlignment="0" applyProtection="0"/>
    <xf numFmtId="0" fontId="13" fillId="7" borderId="0" applyNumberFormat="0" applyBorder="0" applyAlignment="0" applyProtection="0"/>
    <xf numFmtId="43" fontId="14" fillId="0" borderId="0" applyFont="0" applyFill="0" applyBorder="0" applyAlignment="0" applyProtection="0"/>
    <xf numFmtId="44" fontId="15" fillId="0" borderId="0" applyFont="0" applyFill="0" applyBorder="0" applyAlignment="0" applyProtection="0"/>
    <xf numFmtId="0" fontId="16" fillId="26" borderId="0" applyNumberFormat="0" applyBorder="0" applyAlignment="0" applyProtection="0"/>
    <xf numFmtId="0" fontId="5" fillId="0" borderId="0"/>
    <xf numFmtId="0" fontId="5" fillId="0" borderId="0"/>
    <xf numFmtId="0" fontId="5" fillId="0" borderId="0"/>
    <xf numFmtId="0" fontId="17" fillId="0" borderId="0"/>
    <xf numFmtId="0" fontId="5" fillId="0" borderId="0"/>
    <xf numFmtId="9" fontId="14" fillId="0" borderId="0" applyFont="0" applyFill="0" applyBorder="0" applyAlignment="0" applyProtection="0"/>
    <xf numFmtId="9" fontId="5" fillId="0" borderId="0" applyFont="0" applyFill="0" applyBorder="0" applyAlignment="0" applyProtection="0"/>
    <xf numFmtId="0" fontId="18" fillId="8" borderId="0" applyNumberFormat="0" applyBorder="0" applyAlignment="0" applyProtection="0"/>
    <xf numFmtId="0" fontId="19" fillId="24" borderId="19" applyNumberFormat="0" applyAlignment="0" applyProtection="0"/>
    <xf numFmtId="0" fontId="5" fillId="0" borderId="0"/>
    <xf numFmtId="0" fontId="20" fillId="0" borderId="0" applyNumberFormat="0" applyFill="0" applyBorder="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21" applyNumberFormat="0" applyFill="0" applyAlignment="0" applyProtection="0"/>
    <xf numFmtId="0" fontId="24" fillId="0" borderId="22" applyNumberFormat="0" applyFill="0" applyAlignment="0" applyProtection="0"/>
    <xf numFmtId="0" fontId="24" fillId="0" borderId="0" applyNumberFormat="0" applyFill="0" applyBorder="0" applyAlignment="0" applyProtection="0"/>
    <xf numFmtId="0" fontId="25" fillId="0" borderId="23" applyNumberFormat="0" applyFill="0" applyAlignment="0" applyProtection="0"/>
    <xf numFmtId="0" fontId="26" fillId="27" borderId="24" applyNumberFormat="0" applyAlignment="0" applyProtection="0"/>
    <xf numFmtId="0" fontId="15" fillId="0" borderId="0"/>
    <xf numFmtId="9" fontId="15" fillId="0" borderId="0" applyFont="0" applyFill="0" applyBorder="0" applyAlignment="0" applyProtection="0"/>
    <xf numFmtId="43" fontId="15" fillId="0" borderId="0" applyFont="0" applyFill="0" applyBorder="0" applyAlignment="0" applyProtection="0"/>
    <xf numFmtId="175" fontId="5" fillId="0" borderId="0" applyFont="0" applyFill="0" applyBorder="0" applyAlignment="0" applyProtection="0"/>
    <xf numFmtId="9" fontId="27" fillId="0" borderId="0" applyFont="0" applyFill="0" applyBorder="0" applyAlignment="0" applyProtection="0"/>
    <xf numFmtId="0" fontId="42" fillId="0" borderId="0" applyNumberFormat="0" applyFill="0" applyBorder="0" applyAlignment="0" applyProtection="0"/>
  </cellStyleXfs>
  <cellXfs count="861">
    <xf numFmtId="0" fontId="0" fillId="0" borderId="0" xfId="0"/>
    <xf numFmtId="0" fontId="28" fillId="0" borderId="0" xfId="55" applyFont="1" applyAlignment="1">
      <alignment vertical="center"/>
    </xf>
    <xf numFmtId="0" fontId="27" fillId="0" borderId="1" xfId="55" applyFont="1" applyBorder="1" applyAlignment="1">
      <alignment vertical="center" wrapText="1"/>
    </xf>
    <xf numFmtId="0" fontId="27" fillId="0" borderId="1" xfId="55" applyFont="1" applyBorder="1" applyAlignment="1">
      <alignment horizontal="center" vertical="center" wrapText="1"/>
    </xf>
    <xf numFmtId="9" fontId="27" fillId="0" borderId="1" xfId="56" applyFont="1" applyBorder="1" applyAlignment="1">
      <alignment horizontal="center" vertical="center" wrapText="1"/>
    </xf>
    <xf numFmtId="0" fontId="27" fillId="0" borderId="0" xfId="55" applyFont="1" applyAlignment="1">
      <alignment vertical="center" wrapText="1"/>
    </xf>
    <xf numFmtId="0" fontId="27" fillId="4" borderId="1" xfId="55" applyFont="1" applyFill="1" applyBorder="1" applyAlignment="1">
      <alignment horizontal="center" vertical="center" wrapText="1"/>
    </xf>
    <xf numFmtId="0" fontId="0" fillId="0" borderId="0" xfId="55" applyFont="1" applyAlignment="1">
      <alignment horizontal="left" vertical="center" wrapText="1"/>
    </xf>
    <xf numFmtId="0" fontId="0" fillId="0" borderId="0" xfId="0" applyFont="1"/>
    <xf numFmtId="0" fontId="28" fillId="0" borderId="0" xfId="55" applyFont="1" applyAlignment="1">
      <alignment vertical="center" wrapText="1"/>
    </xf>
    <xf numFmtId="0" fontId="29" fillId="0" borderId="0" xfId="55" applyFont="1" applyBorder="1" applyAlignment="1">
      <alignment horizontal="center" vertical="center" wrapText="1"/>
    </xf>
    <xf numFmtId="0" fontId="0" fillId="0" borderId="0" xfId="55" applyFont="1" applyAlignment="1">
      <alignment vertical="center" wrapText="1"/>
    </xf>
    <xf numFmtId="2" fontId="0" fillId="0" borderId="0" xfId="55" applyNumberFormat="1" applyFont="1" applyAlignment="1">
      <alignment horizontal="left" vertical="center" wrapText="1"/>
    </xf>
    <xf numFmtId="0" fontId="0" fillId="0" borderId="0" xfId="55" applyFont="1" applyAlignment="1">
      <alignment horizontal="center" vertical="center" wrapText="1"/>
    </xf>
    <xf numFmtId="0" fontId="0" fillId="0" borderId="0" xfId="0" applyFont="1" applyAlignment="1">
      <alignment wrapText="1"/>
    </xf>
    <xf numFmtId="0" fontId="0" fillId="0" borderId="1" xfId="55" applyFont="1" applyBorder="1" applyAlignment="1">
      <alignment vertical="center" wrapText="1"/>
    </xf>
    <xf numFmtId="0" fontId="0" fillId="0" borderId="1" xfId="55" applyFont="1" applyBorder="1" applyAlignment="1">
      <alignment horizontal="center" vertical="center" wrapText="1"/>
    </xf>
    <xf numFmtId="0" fontId="0" fillId="0" borderId="1" xfId="55" applyFont="1" applyFill="1" applyBorder="1" applyAlignment="1">
      <alignment vertical="center" wrapText="1"/>
    </xf>
    <xf numFmtId="168" fontId="0" fillId="4" borderId="1" xfId="55" applyNumberFormat="1" applyFont="1" applyFill="1" applyBorder="1" applyAlignment="1">
      <alignment vertical="center" wrapText="1"/>
    </xf>
    <xf numFmtId="166" fontId="0" fillId="0" borderId="1" xfId="55" applyNumberFormat="1" applyFont="1" applyFill="1" applyBorder="1" applyAlignment="1">
      <alignment vertical="center" wrapText="1"/>
    </xf>
    <xf numFmtId="0" fontId="0" fillId="0" borderId="1" xfId="55" applyFont="1" applyFill="1" applyBorder="1" applyAlignment="1">
      <alignment horizontal="center" vertical="center" wrapText="1"/>
    </xf>
    <xf numFmtId="10" fontId="0" fillId="4" borderId="1" xfId="56" applyNumberFormat="1" applyFont="1" applyFill="1" applyBorder="1" applyAlignment="1">
      <alignment horizontal="center" vertical="center" wrapText="1"/>
    </xf>
    <xf numFmtId="10" fontId="0" fillId="0" borderId="1" xfId="56" applyNumberFormat="1" applyFont="1" applyFill="1" applyBorder="1" applyAlignment="1">
      <alignment horizontal="center" vertical="center" wrapText="1"/>
    </xf>
    <xf numFmtId="0" fontId="0" fillId="0" borderId="0" xfId="55" applyFont="1" applyBorder="1" applyAlignment="1">
      <alignment horizontal="center" vertical="center" wrapText="1"/>
    </xf>
    <xf numFmtId="0" fontId="0" fillId="0" borderId="0" xfId="55" applyFont="1" applyFill="1" applyAlignment="1">
      <alignment vertical="center" wrapText="1"/>
    </xf>
    <xf numFmtId="164" fontId="27" fillId="4" borderId="1" xfId="55" applyNumberFormat="1" applyFont="1" applyFill="1" applyBorder="1" applyAlignment="1">
      <alignment horizontal="center" vertical="center" wrapText="1"/>
    </xf>
    <xf numFmtId="0" fontId="27" fillId="0" borderId="0" xfId="55" applyFont="1" applyAlignment="1">
      <alignment horizontal="left" vertical="center" wrapText="1"/>
    </xf>
    <xf numFmtId="167" fontId="27" fillId="0" borderId="1" xfId="55" applyNumberFormat="1" applyFont="1" applyBorder="1" applyAlignment="1">
      <alignment horizontal="center" vertical="center" wrapText="1"/>
    </xf>
    <xf numFmtId="166" fontId="27" fillId="2" borderId="1" xfId="55" applyNumberFormat="1" applyFont="1" applyFill="1" applyBorder="1" applyAlignment="1">
      <alignment vertical="center" wrapText="1"/>
    </xf>
    <xf numFmtId="0" fontId="0" fillId="0" borderId="0" xfId="55" applyFont="1" applyAlignment="1">
      <alignment horizontal="left" vertical="center"/>
    </xf>
    <xf numFmtId="0" fontId="0" fillId="0" borderId="0" xfId="0" applyAlignment="1">
      <alignment vertical="center" wrapText="1"/>
    </xf>
    <xf numFmtId="0" fontId="29" fillId="0" borderId="0" xfId="0" applyFont="1" applyAlignment="1">
      <alignment vertical="center" wrapText="1"/>
    </xf>
    <xf numFmtId="0" fontId="0" fillId="0" borderId="30" xfId="0" applyBorder="1" applyAlignment="1">
      <alignment vertical="center" wrapText="1"/>
    </xf>
    <xf numFmtId="0" fontId="0" fillId="0" borderId="29" xfId="0" applyBorder="1" applyAlignment="1">
      <alignment vertical="center" wrapText="1"/>
    </xf>
    <xf numFmtId="0" fontId="0" fillId="4" borderId="28" xfId="0" applyFill="1" applyBorder="1" applyAlignment="1">
      <alignment vertical="center" wrapText="1"/>
    </xf>
    <xf numFmtId="0" fontId="0" fillId="0" borderId="8" xfId="0" applyBorder="1" applyAlignment="1">
      <alignment vertical="center" wrapText="1"/>
    </xf>
    <xf numFmtId="0" fontId="0" fillId="0" borderId="0" xfId="0" applyFill="1" applyAlignment="1">
      <alignment vertical="center" wrapText="1"/>
    </xf>
    <xf numFmtId="0" fontId="0" fillId="0" borderId="1" xfId="55" applyFont="1" applyBorder="1" applyAlignment="1">
      <alignment horizontal="center" vertical="center" wrapText="1"/>
    </xf>
    <xf numFmtId="0" fontId="0" fillId="0" borderId="0" xfId="0" applyBorder="1" applyAlignment="1">
      <alignment vertical="center" wrapText="1"/>
    </xf>
    <xf numFmtId="0" fontId="0" fillId="0" borderId="0" xfId="0" applyFill="1" applyBorder="1" applyAlignment="1">
      <alignment vertical="center" wrapText="1"/>
    </xf>
    <xf numFmtId="167" fontId="0" fillId="0" borderId="0" xfId="0" applyNumberFormat="1" applyAlignment="1">
      <alignment vertical="center" wrapText="1"/>
    </xf>
    <xf numFmtId="0" fontId="0" fillId="0" borderId="0" xfId="55" applyFont="1" applyFill="1" applyAlignment="1">
      <alignment vertical="center"/>
    </xf>
    <xf numFmtId="0" fontId="0" fillId="0" borderId="0" xfId="55" applyFont="1" applyFill="1"/>
    <xf numFmtId="0" fontId="0" fillId="0" borderId="0" xfId="0" applyFont="1" applyFill="1"/>
    <xf numFmtId="0" fontId="28" fillId="0" borderId="0" xfId="0" applyFont="1" applyAlignment="1">
      <alignment vertical="center" wrapText="1"/>
    </xf>
    <xf numFmtId="0" fontId="27" fillId="0" borderId="0" xfId="55" applyFont="1" applyFill="1" applyBorder="1" applyAlignment="1">
      <alignment vertical="center" wrapText="1"/>
    </xf>
    <xf numFmtId="0" fontId="27" fillId="0" borderId="0" xfId="55" applyFont="1" applyFill="1" applyAlignment="1">
      <alignment vertical="center" wrapText="1"/>
    </xf>
    <xf numFmtId="0" fontId="0" fillId="0" borderId="0" xfId="55" applyFont="1" applyFill="1" applyBorder="1" applyAlignment="1">
      <alignment vertical="center" wrapText="1"/>
    </xf>
    <xf numFmtId="0" fontId="0" fillId="0" borderId="0" xfId="55" applyFont="1" applyFill="1" applyBorder="1" applyAlignment="1">
      <alignment horizontal="center" vertical="center" wrapText="1"/>
    </xf>
    <xf numFmtId="0" fontId="0" fillId="0" borderId="0" xfId="55" applyFont="1" applyFill="1" applyAlignment="1">
      <alignment horizontal="left" vertical="center" wrapText="1"/>
    </xf>
    <xf numFmtId="0" fontId="0" fillId="0" borderId="0" xfId="0" applyFont="1" applyFill="1" applyAlignment="1">
      <alignment wrapText="1"/>
    </xf>
    <xf numFmtId="0" fontId="29" fillId="0" borderId="0" xfId="55" applyFont="1" applyFill="1" applyAlignment="1">
      <alignment vertical="center" wrapText="1"/>
    </xf>
    <xf numFmtId="0" fontId="27" fillId="0" borderId="0" xfId="55" applyFont="1" applyFill="1" applyAlignment="1">
      <alignment horizontal="center" vertical="center" wrapText="1"/>
    </xf>
    <xf numFmtId="10" fontId="28" fillId="0" borderId="0" xfId="59" applyNumberFormat="1" applyFont="1" applyAlignment="1">
      <alignment vertical="center" wrapText="1"/>
    </xf>
    <xf numFmtId="10" fontId="0" fillId="0" borderId="1" xfId="59" applyNumberFormat="1" applyFont="1" applyBorder="1" applyAlignment="1">
      <alignment vertical="center" wrapText="1"/>
    </xf>
    <xf numFmtId="182" fontId="31" fillId="4" borderId="1" xfId="55" applyNumberFormat="1" applyFont="1" applyFill="1" applyBorder="1" applyAlignment="1">
      <alignment vertical="center" wrapText="1"/>
    </xf>
    <xf numFmtId="166" fontId="28" fillId="0" borderId="0" xfId="55" applyNumberFormat="1" applyFont="1" applyFill="1" applyBorder="1" applyAlignment="1">
      <alignment vertical="center" wrapText="1"/>
    </xf>
    <xf numFmtId="0" fontId="0" fillId="0" borderId="29" xfId="55" applyFont="1" applyFill="1" applyBorder="1" applyAlignment="1">
      <alignment vertical="center" wrapText="1"/>
    </xf>
    <xf numFmtId="0" fontId="0" fillId="0" borderId="27" xfId="55" applyFont="1" applyFill="1" applyBorder="1" applyAlignment="1">
      <alignment vertical="center" wrapText="1"/>
    </xf>
    <xf numFmtId="0" fontId="0" fillId="0" borderId="27" xfId="55" applyFont="1" applyFill="1" applyBorder="1" applyAlignment="1">
      <alignment vertical="center"/>
    </xf>
    <xf numFmtId="0" fontId="0" fillId="0" borderId="29" xfId="55" applyFont="1" applyBorder="1" applyAlignment="1">
      <alignment vertical="center" wrapText="1"/>
    </xf>
    <xf numFmtId="0" fontId="0" fillId="0" borderId="32" xfId="55" applyFont="1" applyFill="1" applyBorder="1" applyAlignment="1">
      <alignment vertical="center" wrapText="1"/>
    </xf>
    <xf numFmtId="0" fontId="0" fillId="0" borderId="37" xfId="55" applyFont="1" applyFill="1" applyBorder="1" applyAlignment="1">
      <alignment vertical="center" wrapText="1"/>
    </xf>
    <xf numFmtId="0" fontId="0" fillId="0" borderId="32" xfId="55" applyFont="1" applyBorder="1" applyAlignment="1">
      <alignment vertical="center" wrapText="1"/>
    </xf>
    <xf numFmtId="0" fontId="0" fillId="0" borderId="37" xfId="55" applyFont="1" applyBorder="1" applyAlignment="1">
      <alignment vertical="center" wrapText="1"/>
    </xf>
    <xf numFmtId="0" fontId="31" fillId="0" borderId="0" xfId="0" applyFont="1" applyAlignment="1">
      <alignment vertical="center" wrapText="1"/>
    </xf>
    <xf numFmtId="0" fontId="31" fillId="0" borderId="30" xfId="0" applyFont="1" applyBorder="1" applyAlignment="1">
      <alignment vertical="center" wrapText="1"/>
    </xf>
    <xf numFmtId="0" fontId="31" fillId="0" borderId="29" xfId="0" applyFont="1" applyBorder="1" applyAlignment="1">
      <alignment vertical="center" wrapText="1"/>
    </xf>
    <xf numFmtId="0" fontId="31" fillId="0" borderId="1" xfId="0" applyFont="1" applyBorder="1" applyAlignment="1">
      <alignment vertical="center" wrapText="1"/>
    </xf>
    <xf numFmtId="0" fontId="31" fillId="0" borderId="27" xfId="0" applyFont="1" applyBorder="1" applyAlignment="1">
      <alignment vertical="center" wrapText="1"/>
    </xf>
    <xf numFmtId="0" fontId="31" fillId="4" borderId="28" xfId="0" applyFont="1" applyFill="1" applyBorder="1" applyAlignment="1">
      <alignment vertical="center" wrapText="1"/>
    </xf>
    <xf numFmtId="0" fontId="31" fillId="0" borderId="0" xfId="0" applyFont="1" applyBorder="1" applyAlignment="1">
      <alignment vertical="center" wrapText="1"/>
    </xf>
    <xf numFmtId="0" fontId="0" fillId="0" borderId="30" xfId="55" applyFont="1" applyBorder="1" applyAlignment="1">
      <alignment vertical="center" wrapText="1"/>
    </xf>
    <xf numFmtId="0" fontId="0" fillId="0" borderId="28" xfId="55" applyFont="1" applyBorder="1" applyAlignment="1">
      <alignment horizontal="center" vertical="center" wrapText="1"/>
    </xf>
    <xf numFmtId="168" fontId="0" fillId="4" borderId="28" xfId="55" applyNumberFormat="1" applyFont="1" applyFill="1" applyBorder="1" applyAlignment="1">
      <alignment vertical="center" wrapText="1"/>
    </xf>
    <xf numFmtId="166" fontId="0" fillId="0" borderId="28" xfId="55" applyNumberFormat="1" applyFont="1" applyFill="1" applyBorder="1" applyAlignment="1">
      <alignment vertical="center" wrapText="1"/>
    </xf>
    <xf numFmtId="0" fontId="0" fillId="0" borderId="27" xfId="55" applyFont="1" applyFill="1" applyBorder="1" applyAlignment="1">
      <alignment horizontal="left" vertical="center" wrapText="1"/>
    </xf>
    <xf numFmtId="166" fontId="0" fillId="4" borderId="28" xfId="55" applyNumberFormat="1" applyFont="1" applyFill="1" applyBorder="1" applyAlignment="1">
      <alignment vertical="center" wrapText="1"/>
    </xf>
    <xf numFmtId="0" fontId="0" fillId="0" borderId="28" xfId="55" applyFont="1" applyFill="1" applyBorder="1" applyAlignment="1">
      <alignment horizontal="center" vertical="center" wrapText="1"/>
    </xf>
    <xf numFmtId="10" fontId="0" fillId="4" borderId="28" xfId="56" applyNumberFormat="1" applyFont="1" applyFill="1" applyBorder="1" applyAlignment="1">
      <alignment horizontal="center" vertical="center" wrapText="1"/>
    </xf>
    <xf numFmtId="10" fontId="0" fillId="0" borderId="28" xfId="56" applyNumberFormat="1" applyFont="1" applyFill="1" applyBorder="1" applyAlignment="1">
      <alignment horizontal="center" vertical="center" wrapText="1"/>
    </xf>
    <xf numFmtId="0" fontId="0" fillId="0" borderId="28" xfId="55" applyFont="1" applyBorder="1" applyAlignment="1">
      <alignment vertical="center" wrapText="1"/>
    </xf>
    <xf numFmtId="182" fontId="31" fillId="4" borderId="28" xfId="55" applyNumberFormat="1" applyFont="1" applyFill="1" applyBorder="1" applyAlignment="1">
      <alignment vertical="center" wrapText="1"/>
    </xf>
    <xf numFmtId="0" fontId="0" fillId="0" borderId="27" xfId="55" applyFont="1" applyBorder="1" applyAlignment="1">
      <alignment vertical="center" wrapText="1"/>
    </xf>
    <xf numFmtId="10" fontId="0" fillId="0" borderId="28" xfId="59" applyNumberFormat="1" applyFont="1" applyBorder="1" applyAlignment="1">
      <alignment vertical="center" wrapText="1"/>
    </xf>
    <xf numFmtId="166" fontId="28" fillId="0" borderId="30" xfId="55" applyNumberFormat="1" applyFont="1" applyFill="1" applyBorder="1" applyAlignment="1">
      <alignment vertical="center" wrapText="1"/>
    </xf>
    <xf numFmtId="0" fontId="0" fillId="0" borderId="44" xfId="55" applyFont="1" applyBorder="1" applyAlignment="1">
      <alignment vertical="center" wrapText="1"/>
    </xf>
    <xf numFmtId="0" fontId="31" fillId="0" borderId="37" xfId="55" applyFont="1" applyBorder="1" applyAlignment="1">
      <alignment vertical="center" wrapText="1"/>
    </xf>
    <xf numFmtId="0" fontId="0" fillId="0" borderId="29" xfId="55" applyFont="1" applyBorder="1" applyAlignment="1">
      <alignment horizontal="left" vertical="center" wrapText="1"/>
    </xf>
    <xf numFmtId="0" fontId="38" fillId="0" borderId="30" xfId="55" applyFont="1" applyFill="1" applyBorder="1" applyAlignment="1">
      <alignment vertical="center"/>
    </xf>
    <xf numFmtId="0" fontId="38" fillId="3" borderId="27" xfId="55" applyFont="1" applyFill="1" applyBorder="1" applyAlignment="1">
      <alignment vertical="center" wrapText="1"/>
    </xf>
    <xf numFmtId="0" fontId="0" fillId="0" borderId="30" xfId="55" applyFont="1" applyBorder="1" applyAlignment="1">
      <alignment horizontal="center" vertical="center" wrapText="1"/>
    </xf>
    <xf numFmtId="0" fontId="31" fillId="0" borderId="29" xfId="55" applyFont="1" applyBorder="1" applyAlignment="1">
      <alignment vertical="center" wrapText="1"/>
    </xf>
    <xf numFmtId="0" fontId="0" fillId="0" borderId="29" xfId="0" applyFont="1" applyBorder="1" applyAlignment="1">
      <alignment wrapText="1"/>
    </xf>
    <xf numFmtId="0" fontId="0" fillId="0" borderId="30" xfId="0" applyFont="1" applyBorder="1" applyAlignment="1">
      <alignment wrapText="1"/>
    </xf>
    <xf numFmtId="0" fontId="0" fillId="0" borderId="47" xfId="0" applyBorder="1" applyAlignment="1">
      <alignment vertical="center" wrapText="1"/>
    </xf>
    <xf numFmtId="0" fontId="0" fillId="0" borderId="48" xfId="0" applyBorder="1" applyAlignment="1">
      <alignment vertical="center" wrapText="1"/>
    </xf>
    <xf numFmtId="0" fontId="28" fillId="0" borderId="47" xfId="0" applyFont="1" applyBorder="1" applyAlignment="1">
      <alignment vertical="center" wrapText="1"/>
    </xf>
    <xf numFmtId="0" fontId="28" fillId="0" borderId="48" xfId="0" applyFont="1" applyBorder="1" applyAlignment="1">
      <alignment vertical="center" wrapText="1"/>
    </xf>
    <xf numFmtId="0" fontId="27" fillId="0" borderId="32" xfId="55" applyFont="1" applyFill="1" applyBorder="1" applyAlignment="1">
      <alignment vertical="center" wrapText="1"/>
    </xf>
    <xf numFmtId="0" fontId="27" fillId="0" borderId="32" xfId="55" applyFont="1" applyBorder="1" applyAlignment="1">
      <alignment vertical="center" wrapText="1"/>
    </xf>
    <xf numFmtId="0" fontId="27" fillId="0" borderId="30" xfId="55" applyFont="1" applyBorder="1" applyAlignment="1">
      <alignment vertical="center" wrapText="1"/>
    </xf>
    <xf numFmtId="0" fontId="27" fillId="0" borderId="37" xfId="55" applyFont="1" applyFill="1" applyBorder="1" applyAlignment="1">
      <alignment vertical="center" wrapText="1"/>
    </xf>
    <xf numFmtId="0" fontId="27" fillId="0" borderId="44" xfId="55" applyFont="1" applyBorder="1" applyAlignment="1">
      <alignment vertical="center" wrapText="1"/>
    </xf>
    <xf numFmtId="0" fontId="27" fillId="0" borderId="29" xfId="55" applyFont="1" applyFill="1" applyBorder="1" applyAlignment="1">
      <alignment vertical="center" wrapText="1"/>
    </xf>
    <xf numFmtId="0" fontId="27" fillId="0" borderId="27" xfId="55" applyFont="1" applyFill="1" applyBorder="1" applyAlignment="1">
      <alignment vertical="center" wrapText="1"/>
    </xf>
    <xf numFmtId="165" fontId="27" fillId="4" borderId="28" xfId="55" applyNumberFormat="1" applyFont="1" applyFill="1" applyBorder="1" applyAlignment="1">
      <alignment vertical="center" wrapText="1"/>
    </xf>
    <xf numFmtId="166" fontId="27" fillId="4" borderId="28" xfId="55" applyNumberFormat="1" applyFont="1" applyFill="1" applyBorder="1" applyAlignment="1">
      <alignment vertical="center" wrapText="1"/>
    </xf>
    <xf numFmtId="0" fontId="27" fillId="0" borderId="28" xfId="55" applyFont="1" applyBorder="1" applyAlignment="1">
      <alignment horizontal="center" vertical="center" wrapText="1"/>
    </xf>
    <xf numFmtId="0" fontId="27" fillId="4" borderId="28" xfId="55" applyFont="1" applyFill="1" applyBorder="1" applyAlignment="1">
      <alignment horizontal="center" vertical="center" wrapText="1"/>
    </xf>
    <xf numFmtId="164" fontId="27" fillId="4" borderId="28" xfId="55" applyNumberFormat="1" applyFont="1" applyFill="1" applyBorder="1" applyAlignment="1">
      <alignment horizontal="center" vertical="center" wrapText="1"/>
    </xf>
    <xf numFmtId="167" fontId="27" fillId="0" borderId="28" xfId="55" applyNumberFormat="1" applyFont="1" applyBorder="1" applyAlignment="1">
      <alignment horizontal="center" vertical="center" wrapText="1"/>
    </xf>
    <xf numFmtId="0" fontId="0" fillId="0" borderId="32" xfId="0" applyFill="1" applyBorder="1" applyAlignment="1">
      <alignment vertical="center" wrapText="1"/>
    </xf>
    <xf numFmtId="0" fontId="0" fillId="0" borderId="37" xfId="0" applyFill="1" applyBorder="1" applyAlignment="1">
      <alignment vertical="center" wrapText="1"/>
    </xf>
    <xf numFmtId="0" fontId="0" fillId="0" borderId="44" xfId="0"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31" xfId="0" applyBorder="1" applyAlignment="1">
      <alignment vertical="center" wrapText="1"/>
    </xf>
    <xf numFmtId="0" fontId="28" fillId="0" borderId="29" xfId="0" applyFont="1" applyBorder="1" applyAlignment="1">
      <alignment vertical="center" wrapText="1"/>
    </xf>
    <xf numFmtId="0" fontId="30" fillId="0" borderId="0" xfId="0" applyFont="1" applyAlignment="1">
      <alignment vertical="center" wrapText="1"/>
    </xf>
    <xf numFmtId="0" fontId="30" fillId="0" borderId="40" xfId="0" applyFont="1" applyBorder="1" applyAlignment="1">
      <alignment vertical="center" wrapText="1"/>
    </xf>
    <xf numFmtId="0" fontId="0" fillId="0" borderId="0" xfId="55" applyFont="1" applyBorder="1" applyAlignment="1">
      <alignment vertical="center" wrapText="1"/>
    </xf>
    <xf numFmtId="0" fontId="0" fillId="0" borderId="39" xfId="0" applyBorder="1" applyAlignment="1">
      <alignment vertical="center" wrapText="1"/>
    </xf>
    <xf numFmtId="0" fontId="0" fillId="0" borderId="14" xfId="0" applyBorder="1" applyAlignment="1">
      <alignment vertical="center" wrapText="1"/>
    </xf>
    <xf numFmtId="0" fontId="30" fillId="0" borderId="54" xfId="0" applyFont="1" applyBorder="1" applyAlignment="1">
      <alignment vertical="center" wrapText="1"/>
    </xf>
    <xf numFmtId="0" fontId="0" fillId="0" borderId="59" xfId="0" applyBorder="1" applyAlignment="1">
      <alignment vertical="center" wrapText="1"/>
    </xf>
    <xf numFmtId="0" fontId="0" fillId="0" borderId="9" xfId="0" applyBorder="1" applyAlignment="1">
      <alignment vertical="center" wrapText="1"/>
    </xf>
    <xf numFmtId="0" fontId="28" fillId="0" borderId="59" xfId="0" applyFont="1" applyBorder="1" applyAlignment="1">
      <alignment vertical="center" wrapText="1"/>
    </xf>
    <xf numFmtId="0" fontId="0" fillId="0" borderId="61" xfId="0" applyBorder="1" applyAlignment="1">
      <alignment vertical="center" wrapText="1"/>
    </xf>
    <xf numFmtId="0" fontId="28" fillId="0" borderId="61" xfId="0" applyFont="1" applyBorder="1" applyAlignment="1">
      <alignment vertical="center" wrapText="1"/>
    </xf>
    <xf numFmtId="0" fontId="30" fillId="28" borderId="49" xfId="0" applyFont="1" applyFill="1" applyBorder="1" applyAlignment="1">
      <alignment vertical="center" wrapText="1"/>
    </xf>
    <xf numFmtId="0" fontId="31" fillId="28" borderId="46" xfId="0" applyFont="1" applyFill="1" applyBorder="1" applyAlignment="1">
      <alignment vertical="center" wrapText="1"/>
    </xf>
    <xf numFmtId="0" fontId="31" fillId="28" borderId="57" xfId="0" applyFont="1" applyFill="1" applyBorder="1" applyAlignment="1">
      <alignment vertical="center" wrapText="1"/>
    </xf>
    <xf numFmtId="0" fontId="29" fillId="28" borderId="50" xfId="0" applyFont="1" applyFill="1" applyBorder="1" applyAlignment="1">
      <alignment vertical="center" wrapText="1"/>
    </xf>
    <xf numFmtId="0" fontId="0" fillId="28" borderId="47" xfId="0" applyFill="1" applyBorder="1" applyAlignment="1">
      <alignment vertical="center" wrapText="1"/>
    </xf>
    <xf numFmtId="0" fontId="0" fillId="28" borderId="59" xfId="0" applyFill="1" applyBorder="1" applyAlignment="1">
      <alignment vertical="center" wrapText="1"/>
    </xf>
    <xf numFmtId="0" fontId="29" fillId="28" borderId="49" xfId="0" applyFont="1" applyFill="1" applyBorder="1" applyAlignment="1">
      <alignment vertical="center" wrapText="1"/>
    </xf>
    <xf numFmtId="0" fontId="0" fillId="28" borderId="46" xfId="0" applyFill="1" applyBorder="1" applyAlignment="1">
      <alignment vertical="center" wrapText="1"/>
    </xf>
    <xf numFmtId="0" fontId="0" fillId="28" borderId="57" xfId="0" applyFill="1" applyBorder="1" applyAlignment="1">
      <alignment vertical="center" wrapText="1"/>
    </xf>
    <xf numFmtId="0" fontId="29" fillId="28" borderId="29" xfId="0" applyFont="1" applyFill="1" applyBorder="1" applyAlignment="1">
      <alignment vertical="center" wrapText="1"/>
    </xf>
    <xf numFmtId="0" fontId="0" fillId="28" borderId="0" xfId="0" applyFill="1" applyAlignment="1">
      <alignment vertical="center" wrapText="1"/>
    </xf>
    <xf numFmtId="0" fontId="0" fillId="28" borderId="6" xfId="0" applyFill="1" applyBorder="1" applyAlignment="1">
      <alignment vertical="center" wrapText="1"/>
    </xf>
    <xf numFmtId="0" fontId="41" fillId="29" borderId="29" xfId="0" applyFont="1" applyFill="1" applyBorder="1" applyAlignment="1">
      <alignment vertical="center" wrapText="1"/>
    </xf>
    <xf numFmtId="0" fontId="41" fillId="29" borderId="40" xfId="0" applyFont="1" applyFill="1" applyBorder="1" applyAlignment="1">
      <alignment vertical="center" wrapText="1"/>
    </xf>
    <xf numFmtId="0" fontId="31" fillId="0" borderId="6" xfId="0" applyFont="1" applyBorder="1" applyAlignment="1">
      <alignment vertical="center" wrapText="1"/>
    </xf>
    <xf numFmtId="0" fontId="32" fillId="29" borderId="29" xfId="0" applyFont="1" applyFill="1" applyBorder="1" applyAlignment="1">
      <alignment vertical="center" wrapText="1"/>
    </xf>
    <xf numFmtId="0" fontId="31" fillId="29" borderId="0" xfId="0" applyFont="1" applyFill="1" applyAlignment="1">
      <alignment vertical="center" wrapText="1"/>
    </xf>
    <xf numFmtId="0" fontId="29" fillId="29" borderId="39" xfId="0" applyFont="1" applyFill="1" applyBorder="1" applyAlignment="1">
      <alignment horizontal="center" vertical="center" wrapText="1"/>
    </xf>
    <xf numFmtId="0" fontId="29" fillId="29" borderId="14" xfId="0" applyFont="1" applyFill="1" applyBorder="1" applyAlignment="1">
      <alignment horizontal="center" vertical="center" wrapText="1"/>
    </xf>
    <xf numFmtId="0" fontId="29" fillId="29" borderId="38" xfId="0" applyFont="1" applyFill="1" applyBorder="1" applyAlignment="1">
      <alignment horizontal="center" vertical="center" wrapText="1"/>
    </xf>
    <xf numFmtId="0" fontId="0" fillId="0" borderId="63" xfId="0" applyBorder="1" applyAlignment="1">
      <alignment vertical="center" wrapText="1"/>
    </xf>
    <xf numFmtId="0" fontId="0" fillId="0" borderId="65" xfId="0" applyFill="1" applyBorder="1" applyAlignment="1">
      <alignment vertical="center" wrapText="1"/>
    </xf>
    <xf numFmtId="0" fontId="0" fillId="0" borderId="38" xfId="0" applyBorder="1" applyAlignment="1">
      <alignment vertical="center" wrapText="1"/>
    </xf>
    <xf numFmtId="166" fontId="0" fillId="0" borderId="1" xfId="0" applyNumberFormat="1" applyFill="1" applyBorder="1" applyAlignment="1">
      <alignment vertical="center" wrapText="1"/>
    </xf>
    <xf numFmtId="166" fontId="0" fillId="0" borderId="27" xfId="0" applyNumberFormat="1" applyFill="1" applyBorder="1" applyAlignment="1">
      <alignment vertical="center" wrapText="1"/>
    </xf>
    <xf numFmtId="0" fontId="0" fillId="0" borderId="14" xfId="0" applyFill="1" applyBorder="1" applyAlignment="1">
      <alignment vertical="center" wrapText="1"/>
    </xf>
    <xf numFmtId="0" fontId="0" fillId="0" borderId="38" xfId="0" applyFill="1" applyBorder="1" applyAlignment="1">
      <alignment vertical="center" wrapText="1"/>
    </xf>
    <xf numFmtId="0" fontId="29" fillId="29" borderId="26" xfId="0" applyFont="1" applyFill="1" applyBorder="1" applyAlignment="1">
      <alignment horizontal="center" vertical="center" wrapText="1"/>
    </xf>
    <xf numFmtId="0" fontId="29" fillId="29" borderId="15" xfId="0" applyFont="1" applyFill="1" applyBorder="1" applyAlignment="1">
      <alignment horizontal="center" vertical="center" wrapText="1"/>
    </xf>
    <xf numFmtId="0" fontId="29" fillId="29" borderId="41" xfId="0" applyFont="1" applyFill="1" applyBorder="1" applyAlignment="1">
      <alignment horizontal="center" vertical="center" wrapText="1"/>
    </xf>
    <xf numFmtId="0" fontId="0" fillId="0" borderId="66" xfId="0" applyFill="1" applyBorder="1" applyAlignment="1">
      <alignment vertical="center" wrapText="1"/>
    </xf>
    <xf numFmtId="0" fontId="41" fillId="29" borderId="6"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6" xfId="0" applyFill="1" applyBorder="1" applyAlignment="1">
      <alignment horizontal="left" vertical="center" wrapText="1"/>
    </xf>
    <xf numFmtId="0" fontId="0" fillId="0" borderId="6" xfId="0" applyFill="1" applyBorder="1" applyAlignment="1">
      <alignment vertical="center" wrapText="1"/>
    </xf>
    <xf numFmtId="0" fontId="30" fillId="29" borderId="41" xfId="0" applyFont="1" applyFill="1" applyBorder="1" applyAlignment="1">
      <alignment horizontal="center" vertical="center" wrapText="1"/>
    </xf>
    <xf numFmtId="178" fontId="27" fillId="0" borderId="30" xfId="55" applyNumberFormat="1" applyFont="1" applyFill="1" applyBorder="1" applyAlignment="1">
      <alignment horizontal="right" vertical="center" wrapText="1"/>
    </xf>
    <xf numFmtId="0" fontId="27" fillId="0" borderId="29" xfId="55" applyFont="1" applyBorder="1" applyAlignment="1">
      <alignment vertical="center" wrapText="1"/>
    </xf>
    <xf numFmtId="0" fontId="0" fillId="0" borderId="69" xfId="0" applyFill="1" applyBorder="1" applyAlignment="1">
      <alignment vertical="center" wrapText="1"/>
    </xf>
    <xf numFmtId="0" fontId="0" fillId="0" borderId="70" xfId="0" applyFill="1" applyBorder="1" applyAlignment="1">
      <alignment vertical="center" wrapText="1"/>
    </xf>
    <xf numFmtId="0" fontId="29" fillId="29" borderId="71" xfId="0" applyFont="1" applyFill="1" applyBorder="1" applyAlignment="1">
      <alignment horizontal="center" vertical="center" wrapText="1"/>
    </xf>
    <xf numFmtId="0" fontId="29" fillId="29" borderId="72" xfId="0" applyFont="1" applyFill="1" applyBorder="1" applyAlignment="1">
      <alignment horizontal="center" vertical="center" wrapText="1"/>
    </xf>
    <xf numFmtId="0" fontId="0" fillId="0" borderId="73" xfId="0" applyFill="1" applyBorder="1" applyAlignment="1">
      <alignment vertical="center" wrapText="1"/>
    </xf>
    <xf numFmtId="0" fontId="0" fillId="0" borderId="75" xfId="0" applyBorder="1" applyAlignment="1">
      <alignment vertical="center" wrapText="1"/>
    </xf>
    <xf numFmtId="0" fontId="0" fillId="0" borderId="76" xfId="0" applyBorder="1" applyAlignment="1">
      <alignment vertical="center" wrapText="1"/>
    </xf>
    <xf numFmtId="166" fontId="0" fillId="0" borderId="74" xfId="0" applyNumberFormat="1" applyFill="1" applyBorder="1" applyAlignment="1">
      <alignment vertical="center" wrapText="1"/>
    </xf>
    <xf numFmtId="0" fontId="0" fillId="0" borderId="75" xfId="0" applyFill="1" applyBorder="1" applyAlignment="1">
      <alignment vertical="center" wrapText="1"/>
    </xf>
    <xf numFmtId="0" fontId="0" fillId="0" borderId="76" xfId="0" applyFill="1" applyBorder="1" applyAlignment="1">
      <alignment vertical="center" wrapText="1"/>
    </xf>
    <xf numFmtId="0" fontId="0" fillId="0" borderId="73" xfId="0" applyBorder="1" applyAlignment="1">
      <alignment vertical="center" wrapText="1"/>
    </xf>
    <xf numFmtId="0" fontId="0" fillId="0" borderId="77" xfId="0" applyBorder="1" applyAlignment="1">
      <alignment vertical="center" wrapText="1"/>
    </xf>
    <xf numFmtId="0" fontId="29" fillId="0" borderId="73" xfId="0" applyFont="1" applyBorder="1" applyAlignment="1">
      <alignment vertical="center" wrapText="1"/>
    </xf>
    <xf numFmtId="0" fontId="29" fillId="0" borderId="77" xfId="0" applyFont="1" applyBorder="1" applyAlignment="1">
      <alignment vertical="center" wrapText="1"/>
    </xf>
    <xf numFmtId="0" fontId="31" fillId="28" borderId="82" xfId="0" applyFont="1" applyFill="1" applyBorder="1" applyAlignment="1">
      <alignment vertical="center" wrapText="1"/>
    </xf>
    <xf numFmtId="0" fontId="31" fillId="28" borderId="83" xfId="0" applyFont="1" applyFill="1" applyBorder="1" applyAlignment="1">
      <alignment vertical="center" wrapText="1"/>
    </xf>
    <xf numFmtId="165" fontId="28" fillId="0" borderId="84" xfId="0" applyNumberFormat="1" applyFont="1" applyBorder="1" applyAlignment="1">
      <alignment vertical="center" wrapText="1"/>
    </xf>
    <xf numFmtId="178" fontId="28" fillId="0" borderId="85" xfId="0" applyNumberFormat="1" applyFont="1" applyBorder="1" applyAlignment="1">
      <alignment vertical="center" wrapText="1"/>
    </xf>
    <xf numFmtId="165" fontId="28" fillId="28" borderId="84" xfId="0" applyNumberFormat="1" applyFont="1" applyFill="1" applyBorder="1" applyAlignment="1">
      <alignment vertical="center" wrapText="1"/>
    </xf>
    <xf numFmtId="0" fontId="0" fillId="28" borderId="85" xfId="0" applyFill="1" applyBorder="1" applyAlignment="1">
      <alignment vertical="center" wrapText="1"/>
    </xf>
    <xf numFmtId="0" fontId="0" fillId="0" borderId="86" xfId="0" applyBorder="1" applyAlignment="1">
      <alignment vertical="center" wrapText="1"/>
    </xf>
    <xf numFmtId="0" fontId="0" fillId="0" borderId="87" xfId="0" applyBorder="1" applyAlignment="1">
      <alignment vertical="center" wrapText="1"/>
    </xf>
    <xf numFmtId="0" fontId="0" fillId="28" borderId="82" xfId="0" applyFill="1" applyBorder="1" applyAlignment="1">
      <alignment vertical="center" wrapText="1"/>
    </xf>
    <xf numFmtId="0" fontId="0" fillId="28" borderId="83" xfId="0" applyFill="1" applyBorder="1" applyAlignment="1">
      <alignment vertical="center" wrapText="1"/>
    </xf>
    <xf numFmtId="0" fontId="0" fillId="28" borderId="84" xfId="0" applyFill="1" applyBorder="1" applyAlignment="1">
      <alignment vertical="center" wrapText="1"/>
    </xf>
    <xf numFmtId="0" fontId="0" fillId="0" borderId="88" xfId="0" applyBorder="1" applyAlignment="1">
      <alignment vertical="center" wrapText="1"/>
    </xf>
    <xf numFmtId="0" fontId="0" fillId="0" borderId="89" xfId="0" applyBorder="1" applyAlignment="1">
      <alignment vertical="center" wrapText="1"/>
    </xf>
    <xf numFmtId="0" fontId="0" fillId="28" borderId="80" xfId="0" applyFill="1" applyBorder="1" applyAlignment="1">
      <alignment vertical="center" wrapText="1"/>
    </xf>
    <xf numFmtId="0" fontId="0" fillId="28" borderId="81" xfId="0" applyFill="1" applyBorder="1" applyAlignment="1">
      <alignment vertical="center" wrapText="1"/>
    </xf>
    <xf numFmtId="0" fontId="0" fillId="0" borderId="80" xfId="0" applyBorder="1" applyAlignment="1">
      <alignment vertical="center" wrapText="1"/>
    </xf>
    <xf numFmtId="0" fontId="0" fillId="0" borderId="81" xfId="0" applyBorder="1" applyAlignment="1">
      <alignment vertical="center" wrapText="1"/>
    </xf>
    <xf numFmtId="0" fontId="31" fillId="28" borderId="92" xfId="0" applyFont="1" applyFill="1" applyBorder="1" applyAlignment="1">
      <alignment vertical="center" wrapText="1"/>
    </xf>
    <xf numFmtId="165" fontId="28" fillId="0" borderId="93" xfId="0" applyNumberFormat="1" applyFont="1" applyBorder="1" applyAlignment="1">
      <alignment vertical="center" wrapText="1"/>
    </xf>
    <xf numFmtId="0" fontId="0" fillId="28" borderId="93" xfId="0" applyFill="1" applyBorder="1" applyAlignment="1">
      <alignment vertical="center" wrapText="1"/>
    </xf>
    <xf numFmtId="0" fontId="0" fillId="0" borderId="94" xfId="0" applyBorder="1" applyAlignment="1">
      <alignment vertical="center" wrapText="1"/>
    </xf>
    <xf numFmtId="0" fontId="0" fillId="28" borderId="92" xfId="0" applyFill="1" applyBorder="1" applyAlignment="1">
      <alignment vertical="center" wrapText="1"/>
    </xf>
    <xf numFmtId="178" fontId="28" fillId="0" borderId="84" xfId="0" applyNumberFormat="1" applyFont="1" applyBorder="1" applyAlignment="1">
      <alignment vertical="center" wrapText="1"/>
    </xf>
    <xf numFmtId="0" fontId="0" fillId="0" borderId="95" xfId="0" applyBorder="1" applyAlignment="1">
      <alignment vertical="center" wrapText="1"/>
    </xf>
    <xf numFmtId="0" fontId="0" fillId="28" borderId="91" xfId="0" applyFill="1" applyBorder="1" applyAlignment="1">
      <alignment vertical="center" wrapText="1"/>
    </xf>
    <xf numFmtId="0" fontId="0" fillId="0" borderId="91" xfId="0" applyBorder="1" applyAlignment="1">
      <alignment vertical="center" wrapText="1"/>
    </xf>
    <xf numFmtId="0" fontId="31" fillId="28" borderId="98" xfId="0" applyFont="1" applyFill="1" applyBorder="1" applyAlignment="1">
      <alignment vertical="center" wrapText="1"/>
    </xf>
    <xf numFmtId="0" fontId="31" fillId="0" borderId="84" xfId="0" applyFont="1" applyBorder="1" applyAlignment="1">
      <alignment vertical="center" wrapText="1"/>
    </xf>
    <xf numFmtId="0" fontId="31" fillId="0" borderId="93" xfId="0" applyFont="1" applyBorder="1" applyAlignment="1">
      <alignment vertical="center" wrapText="1"/>
    </xf>
    <xf numFmtId="0" fontId="31" fillId="0" borderId="99" xfId="0" applyFont="1" applyBorder="1" applyAlignment="1">
      <alignment vertical="center" wrapText="1"/>
    </xf>
    <xf numFmtId="0" fontId="31" fillId="28" borderId="84" xfId="0" applyFont="1" applyFill="1" applyBorder="1" applyAlignment="1">
      <alignment vertical="center" wrapText="1"/>
    </xf>
    <xf numFmtId="0" fontId="31" fillId="28" borderId="93" xfId="0" applyFont="1" applyFill="1" applyBorder="1" applyAlignment="1">
      <alignment vertical="center" wrapText="1"/>
    </xf>
    <xf numFmtId="0" fontId="31" fillId="28" borderId="99" xfId="0" applyFont="1" applyFill="1" applyBorder="1" applyAlignment="1">
      <alignment vertical="center" wrapText="1"/>
    </xf>
    <xf numFmtId="0" fontId="31" fillId="0" borderId="86" xfId="0" applyFont="1" applyBorder="1" applyAlignment="1">
      <alignment vertical="center" wrapText="1"/>
    </xf>
    <xf numFmtId="0" fontId="31" fillId="0" borderId="94" xfId="0" applyFont="1" applyBorder="1" applyAlignment="1">
      <alignment vertical="center" wrapText="1"/>
    </xf>
    <xf numFmtId="0" fontId="31" fillId="0" borderId="100" xfId="0" applyFont="1" applyBorder="1" applyAlignment="1">
      <alignment vertical="center" wrapText="1"/>
    </xf>
    <xf numFmtId="166" fontId="31" fillId="0" borderId="84" xfId="0" applyNumberFormat="1" applyFont="1" applyFill="1" applyBorder="1" applyAlignment="1">
      <alignment vertical="center" wrapText="1"/>
    </xf>
    <xf numFmtId="166" fontId="31" fillId="0" borderId="93" xfId="0" applyNumberFormat="1" applyFont="1" applyFill="1" applyBorder="1" applyAlignment="1">
      <alignment vertical="center" wrapText="1"/>
    </xf>
    <xf numFmtId="166" fontId="31" fillId="0" borderId="99" xfId="0" applyNumberFormat="1" applyFont="1" applyFill="1" applyBorder="1" applyAlignment="1">
      <alignment vertical="center" wrapText="1"/>
    </xf>
    <xf numFmtId="0" fontId="31" fillId="0" borderId="88" xfId="0" applyFont="1" applyBorder="1" applyAlignment="1">
      <alignment vertical="center" wrapText="1"/>
    </xf>
    <xf numFmtId="0" fontId="31" fillId="0" borderId="95" xfId="0" applyFont="1" applyBorder="1" applyAlignment="1">
      <alignment vertical="center" wrapText="1"/>
    </xf>
    <xf numFmtId="0" fontId="31" fillId="0" borderId="101" xfId="0" applyFont="1" applyBorder="1" applyAlignment="1">
      <alignment vertical="center" wrapText="1"/>
    </xf>
    <xf numFmtId="0" fontId="31" fillId="28" borderId="80" xfId="0" applyFont="1" applyFill="1" applyBorder="1" applyAlignment="1">
      <alignment vertical="center" wrapText="1"/>
    </xf>
    <xf numFmtId="0" fontId="31" fillId="28" borderId="91" xfId="0" applyFont="1" applyFill="1" applyBorder="1" applyAlignment="1">
      <alignment vertical="center" wrapText="1"/>
    </xf>
    <xf numFmtId="0" fontId="31" fillId="28" borderId="97" xfId="0" applyFont="1" applyFill="1" applyBorder="1" applyAlignment="1">
      <alignment vertical="center" wrapText="1"/>
    </xf>
    <xf numFmtId="0" fontId="31" fillId="0" borderId="80" xfId="0" applyFont="1" applyBorder="1" applyAlignment="1">
      <alignment vertical="center" wrapText="1"/>
    </xf>
    <xf numFmtId="0" fontId="31" fillId="0" borderId="91" xfId="0" applyFont="1" applyBorder="1" applyAlignment="1">
      <alignment vertical="center" wrapText="1"/>
    </xf>
    <xf numFmtId="0" fontId="31" fillId="0" borderId="97" xfId="0" applyFont="1" applyBorder="1" applyAlignment="1">
      <alignment vertical="center" wrapText="1"/>
    </xf>
    <xf numFmtId="4" fontId="0" fillId="0" borderId="84" xfId="0" applyNumberFormat="1" applyBorder="1" applyAlignment="1">
      <alignment vertical="center" wrapText="1"/>
    </xf>
    <xf numFmtId="4" fontId="0" fillId="0" borderId="85" xfId="0" applyNumberFormat="1" applyBorder="1" applyAlignment="1">
      <alignment vertical="center" wrapText="1"/>
    </xf>
    <xf numFmtId="4" fontId="0" fillId="28" borderId="84" xfId="0" applyNumberFormat="1" applyFill="1" applyBorder="1" applyAlignment="1">
      <alignment vertical="center" wrapText="1"/>
    </xf>
    <xf numFmtId="4" fontId="0" fillId="28" borderId="85" xfId="0" applyNumberFormat="1" applyFill="1" applyBorder="1" applyAlignment="1">
      <alignment vertical="center" wrapText="1"/>
    </xf>
    <xf numFmtId="4" fontId="0" fillId="0" borderId="80" xfId="0" applyNumberFormat="1" applyBorder="1" applyAlignment="1">
      <alignment vertical="center" wrapText="1"/>
    </xf>
    <xf numFmtId="4" fontId="0" fillId="0" borderId="81" xfId="0" applyNumberFormat="1" applyBorder="1" applyAlignment="1">
      <alignment vertical="center" wrapText="1"/>
    </xf>
    <xf numFmtId="4" fontId="0" fillId="0" borderId="91" xfId="0" applyNumberFormat="1" applyBorder="1" applyAlignment="1">
      <alignment vertical="center" wrapText="1"/>
    </xf>
    <xf numFmtId="0" fontId="0" fillId="0" borderId="8" xfId="55" applyFont="1" applyBorder="1" applyAlignment="1">
      <alignment vertical="center" wrapText="1"/>
    </xf>
    <xf numFmtId="0" fontId="0" fillId="0" borderId="14" xfId="55" applyFont="1" applyBorder="1" applyAlignment="1">
      <alignment vertical="center" wrapText="1"/>
    </xf>
    <xf numFmtId="0" fontId="0" fillId="4" borderId="27" xfId="55" applyFont="1" applyFill="1" applyBorder="1" applyAlignment="1">
      <alignment vertical="center" wrapText="1"/>
    </xf>
    <xf numFmtId="0" fontId="0" fillId="4" borderId="102" xfId="55" applyFont="1" applyFill="1" applyBorder="1" applyAlignment="1">
      <alignment vertical="center" wrapText="1"/>
    </xf>
    <xf numFmtId="182" fontId="31" fillId="4" borderId="103" xfId="55" applyNumberFormat="1" applyFont="1" applyFill="1" applyBorder="1" applyAlignment="1">
      <alignment vertical="center" wrapText="1"/>
    </xf>
    <xf numFmtId="182" fontId="31" fillId="4" borderId="53" xfId="55" applyNumberFormat="1" applyFont="1" applyFill="1" applyBorder="1" applyAlignment="1">
      <alignment vertical="center" wrapText="1"/>
    </xf>
    <xf numFmtId="0" fontId="0" fillId="0" borderId="104" xfId="55" applyFont="1" applyFill="1" applyBorder="1" applyAlignment="1">
      <alignment vertical="center" wrapText="1"/>
    </xf>
    <xf numFmtId="183" fontId="0" fillId="4" borderId="105" xfId="55" applyNumberFormat="1" applyFont="1" applyFill="1" applyBorder="1" applyAlignment="1">
      <alignment vertical="center" wrapText="1"/>
    </xf>
    <xf numFmtId="183" fontId="0" fillId="4" borderId="54" xfId="55" applyNumberFormat="1" applyFont="1" applyFill="1" applyBorder="1" applyAlignment="1">
      <alignment vertical="center" wrapText="1"/>
    </xf>
    <xf numFmtId="0" fontId="30" fillId="0" borderId="106" xfId="0" applyFont="1" applyBorder="1" applyAlignment="1">
      <alignment vertical="center" wrapText="1"/>
    </xf>
    <xf numFmtId="0" fontId="31" fillId="0" borderId="106" xfId="0" applyFont="1" applyBorder="1" applyAlignment="1">
      <alignment vertical="center" wrapText="1"/>
    </xf>
    <xf numFmtId="0" fontId="28" fillId="0" borderId="0" xfId="55" applyFont="1" applyFill="1" applyBorder="1" applyAlignment="1">
      <alignment vertical="center" wrapText="1"/>
    </xf>
    <xf numFmtId="0" fontId="28" fillId="0" borderId="0" xfId="55" applyFont="1" applyFill="1" applyAlignment="1">
      <alignment vertical="center" wrapText="1"/>
    </xf>
    <xf numFmtId="0" fontId="28" fillId="0" borderId="29" xfId="55" applyFont="1" applyBorder="1" applyAlignment="1">
      <alignment vertical="center" wrapText="1"/>
    </xf>
    <xf numFmtId="180" fontId="27" fillId="0" borderId="12" xfId="55" applyNumberFormat="1" applyFont="1" applyFill="1" applyBorder="1" applyAlignment="1">
      <alignment vertical="center" wrapText="1"/>
    </xf>
    <xf numFmtId="180" fontId="27" fillId="0" borderId="1" xfId="55" applyNumberFormat="1" applyFont="1" applyFill="1" applyBorder="1" applyAlignment="1">
      <alignment vertical="center" wrapText="1"/>
    </xf>
    <xf numFmtId="0" fontId="30" fillId="0" borderId="0" xfId="1" applyFont="1" applyFill="1" applyAlignment="1">
      <alignment vertical="center"/>
    </xf>
    <xf numFmtId="0" fontId="32" fillId="0" borderId="0" xfId="1" applyFont="1" applyFill="1" applyAlignment="1">
      <alignment vertical="center"/>
    </xf>
    <xf numFmtId="0" fontId="33" fillId="0" borderId="0" xfId="1" applyFont="1" applyFill="1" applyBorder="1" applyAlignment="1">
      <alignment horizontal="left"/>
    </xf>
    <xf numFmtId="0" fontId="33" fillId="0" borderId="0" xfId="1" applyFont="1" applyFill="1" applyBorder="1" applyAlignment="1">
      <alignment vertical="center"/>
    </xf>
    <xf numFmtId="0" fontId="34" fillId="0" borderId="0" xfId="1" applyFont="1" applyFill="1" applyAlignment="1">
      <alignment vertical="center"/>
    </xf>
    <xf numFmtId="0" fontId="33" fillId="0" borderId="0" xfId="1" applyFont="1" applyFill="1" applyAlignment="1">
      <alignment vertical="center"/>
    </xf>
    <xf numFmtId="0" fontId="35" fillId="0" borderId="0" xfId="1" applyFont="1" applyFill="1" applyBorder="1" applyAlignment="1">
      <alignment vertical="center"/>
    </xf>
    <xf numFmtId="0" fontId="36" fillId="0" borderId="0" xfId="2" applyFont="1" applyFill="1" applyAlignment="1" applyProtection="1">
      <alignment vertical="center"/>
    </xf>
    <xf numFmtId="0" fontId="30" fillId="0" borderId="7" xfId="1" applyFont="1" applyFill="1" applyBorder="1" applyAlignment="1">
      <alignment vertical="center"/>
    </xf>
    <xf numFmtId="0" fontId="30" fillId="0" borderId="8" xfId="1" applyFont="1" applyFill="1" applyBorder="1" applyAlignment="1">
      <alignment vertical="center"/>
    </xf>
    <xf numFmtId="0" fontId="30" fillId="0" borderId="0" xfId="1" applyFont="1" applyFill="1" applyAlignment="1">
      <alignment vertical="top"/>
    </xf>
    <xf numFmtId="0" fontId="36" fillId="0" borderId="8" xfId="2" applyFont="1" applyFill="1" applyBorder="1" applyAlignment="1" applyProtection="1">
      <alignment vertical="center"/>
    </xf>
    <xf numFmtId="0" fontId="30" fillId="29" borderId="72" xfId="0" applyFont="1" applyFill="1" applyBorder="1" applyAlignment="1">
      <alignment horizontal="center" vertical="center" wrapText="1"/>
    </xf>
    <xf numFmtId="166" fontId="31" fillId="0" borderId="74" xfId="0" applyNumberFormat="1" applyFont="1" applyFill="1" applyBorder="1" applyAlignment="1">
      <alignment vertical="center" wrapText="1"/>
    </xf>
    <xf numFmtId="0" fontId="31" fillId="0" borderId="64" xfId="0" applyFont="1" applyFill="1" applyBorder="1" applyAlignment="1">
      <alignment vertical="center" wrapText="1"/>
    </xf>
    <xf numFmtId="0" fontId="30" fillId="29" borderId="15" xfId="0" applyFont="1" applyFill="1" applyBorder="1" applyAlignment="1">
      <alignment horizontal="center" vertical="center" wrapText="1"/>
    </xf>
    <xf numFmtId="0" fontId="28" fillId="0" borderId="6" xfId="0" applyFont="1" applyBorder="1" applyAlignment="1">
      <alignment vertical="center" wrapText="1"/>
    </xf>
    <xf numFmtId="0" fontId="28" fillId="0" borderId="8" xfId="0" applyFont="1" applyBorder="1" applyAlignment="1">
      <alignment vertical="center" wrapText="1"/>
    </xf>
    <xf numFmtId="0" fontId="28" fillId="0" borderId="9" xfId="0" applyFont="1" applyBorder="1" applyAlignment="1">
      <alignment vertical="center" wrapText="1"/>
    </xf>
    <xf numFmtId="0" fontId="4" fillId="0" borderId="50" xfId="0" applyFont="1" applyBorder="1" applyAlignment="1">
      <alignment vertical="center" wrapText="1"/>
    </xf>
    <xf numFmtId="0" fontId="44" fillId="0" borderId="0" xfId="0" applyFont="1" applyAlignment="1">
      <alignment vertical="center" wrapText="1"/>
    </xf>
    <xf numFmtId="0" fontId="0" fillId="0" borderId="0" xfId="55" applyFont="1" applyFill="1" applyAlignment="1">
      <alignment textRotation="90"/>
    </xf>
    <xf numFmtId="0" fontId="0" fillId="0" borderId="1" xfId="55" applyFont="1" applyFill="1" applyBorder="1" applyAlignment="1">
      <alignment horizontal="center" textRotation="90" wrapText="1"/>
    </xf>
    <xf numFmtId="186" fontId="0" fillId="0" borderId="1" xfId="57" applyNumberFormat="1" applyFont="1" applyFill="1" applyBorder="1" applyAlignment="1">
      <alignment vertical="center" wrapText="1"/>
    </xf>
    <xf numFmtId="165" fontId="4" fillId="0" borderId="84" xfId="0" applyNumberFormat="1" applyFont="1" applyBorder="1" applyAlignment="1">
      <alignment vertical="center" wrapText="1"/>
    </xf>
    <xf numFmtId="178" fontId="4" fillId="0" borderId="85" xfId="0" applyNumberFormat="1" applyFont="1" applyBorder="1" applyAlignment="1">
      <alignment vertical="center" wrapText="1"/>
    </xf>
    <xf numFmtId="0" fontId="28" fillId="28" borderId="47" xfId="0" applyFont="1" applyFill="1" applyBorder="1" applyAlignment="1">
      <alignment vertical="center" wrapText="1"/>
    </xf>
    <xf numFmtId="0" fontId="28" fillId="28" borderId="59" xfId="0" applyFont="1" applyFill="1" applyBorder="1" applyAlignment="1">
      <alignment vertical="center" wrapText="1"/>
    </xf>
    <xf numFmtId="178" fontId="4" fillId="0" borderId="84" xfId="0" applyNumberFormat="1" applyFont="1" applyBorder="1" applyAlignment="1">
      <alignment vertical="center" wrapText="1"/>
    </xf>
    <xf numFmtId="165" fontId="4" fillId="0" borderId="93" xfId="0" applyNumberFormat="1" applyFont="1" applyBorder="1" applyAlignment="1">
      <alignment vertical="center" wrapText="1"/>
    </xf>
    <xf numFmtId="165" fontId="4" fillId="0" borderId="85" xfId="0" applyNumberFormat="1" applyFont="1" applyBorder="1" applyAlignment="1">
      <alignment vertical="center" wrapText="1"/>
    </xf>
    <xf numFmtId="166" fontId="4" fillId="0" borderId="84" xfId="0" applyNumberFormat="1" applyFont="1" applyFill="1" applyBorder="1" applyAlignment="1">
      <alignment vertical="center" wrapText="1"/>
    </xf>
    <xf numFmtId="4" fontId="4" fillId="0" borderId="84" xfId="0" applyNumberFormat="1" applyFont="1" applyBorder="1" applyAlignment="1">
      <alignment vertical="center" wrapText="1"/>
    </xf>
    <xf numFmtId="4" fontId="4" fillId="0" borderId="93" xfId="0" applyNumberFormat="1" applyFont="1" applyBorder="1" applyAlignment="1">
      <alignment vertical="center" wrapText="1"/>
    </xf>
    <xf numFmtId="0" fontId="4" fillId="0" borderId="85" xfId="0" applyFont="1" applyBorder="1" applyAlignment="1">
      <alignment vertical="center" wrapText="1"/>
    </xf>
    <xf numFmtId="0" fontId="4" fillId="28" borderId="85" xfId="0" applyFont="1" applyFill="1" applyBorder="1" applyAlignment="1">
      <alignment vertical="center" wrapText="1"/>
    </xf>
    <xf numFmtId="0" fontId="28" fillId="28" borderId="46" xfId="0" applyFont="1" applyFill="1" applyBorder="1" applyAlignment="1">
      <alignment vertical="center" wrapText="1"/>
    </xf>
    <xf numFmtId="0" fontId="28" fillId="28" borderId="57" xfId="0" applyFont="1" applyFill="1" applyBorder="1" applyAlignment="1">
      <alignment vertical="center" wrapText="1"/>
    </xf>
    <xf numFmtId="4" fontId="4" fillId="0" borderId="85" xfId="0" applyNumberFormat="1" applyFont="1" applyBorder="1" applyAlignment="1">
      <alignment vertical="center" wrapText="1"/>
    </xf>
    <xf numFmtId="4" fontId="4" fillId="0" borderId="80" xfId="0" applyNumberFormat="1" applyFont="1" applyBorder="1" applyAlignment="1">
      <alignment vertical="center" wrapText="1"/>
    </xf>
    <xf numFmtId="4" fontId="4" fillId="0" borderId="81" xfId="0" applyNumberFormat="1" applyFont="1" applyBorder="1" applyAlignment="1">
      <alignment vertical="center" wrapText="1"/>
    </xf>
    <xf numFmtId="4" fontId="4" fillId="0" borderId="91" xfId="0" applyNumberFormat="1" applyFont="1" applyBorder="1" applyAlignment="1">
      <alignment vertical="center" wrapText="1"/>
    </xf>
    <xf numFmtId="0" fontId="4" fillId="0" borderId="81" xfId="0" applyFont="1" applyBorder="1" applyAlignment="1">
      <alignment vertical="center" wrapText="1"/>
    </xf>
    <xf numFmtId="4" fontId="4" fillId="0" borderId="86" xfId="0" applyNumberFormat="1" applyFont="1" applyBorder="1" applyAlignment="1">
      <alignment vertical="center" wrapText="1"/>
    </xf>
    <xf numFmtId="4" fontId="4" fillId="0" borderId="87" xfId="0" applyNumberFormat="1" applyFont="1" applyBorder="1" applyAlignment="1">
      <alignment vertical="center" wrapText="1"/>
    </xf>
    <xf numFmtId="4" fontId="4" fillId="0" borderId="94" xfId="0" applyNumberFormat="1" applyFont="1" applyBorder="1" applyAlignment="1">
      <alignment vertical="center" wrapText="1"/>
    </xf>
    <xf numFmtId="0" fontId="4" fillId="0" borderId="87" xfId="0" applyFont="1" applyBorder="1" applyAlignment="1">
      <alignment vertical="center" wrapText="1"/>
    </xf>
    <xf numFmtId="4" fontId="4" fillId="28" borderId="84" xfId="0" applyNumberFormat="1" applyFont="1" applyFill="1" applyBorder="1" applyAlignment="1">
      <alignment vertical="center" wrapText="1"/>
    </xf>
    <xf numFmtId="4" fontId="4" fillId="28" borderId="93" xfId="0" applyNumberFormat="1" applyFont="1" applyFill="1" applyBorder="1" applyAlignment="1">
      <alignment vertical="center" wrapText="1"/>
    </xf>
    <xf numFmtId="166" fontId="4" fillId="0" borderId="93" xfId="0" applyNumberFormat="1" applyFont="1" applyFill="1" applyBorder="1" applyAlignment="1">
      <alignment vertical="center" wrapText="1"/>
    </xf>
    <xf numFmtId="166" fontId="4" fillId="0" borderId="99" xfId="0" applyNumberFormat="1" applyFont="1" applyFill="1" applyBorder="1" applyAlignment="1">
      <alignment vertical="center" wrapText="1"/>
    </xf>
    <xf numFmtId="0" fontId="4" fillId="0" borderId="0" xfId="0" applyFont="1" applyAlignment="1">
      <alignment vertical="center" wrapText="1"/>
    </xf>
    <xf numFmtId="0" fontId="4" fillId="0" borderId="32" xfId="0" applyFont="1" applyBorder="1" applyAlignment="1">
      <alignment vertical="center" wrapText="1"/>
    </xf>
    <xf numFmtId="0" fontId="4" fillId="0" borderId="1" xfId="0" applyFont="1" applyFill="1" applyBorder="1" applyAlignment="1">
      <alignment vertical="center" wrapText="1"/>
    </xf>
    <xf numFmtId="0" fontId="4" fillId="0" borderId="14" xfId="0" applyFont="1" applyBorder="1" applyAlignment="1">
      <alignment vertical="center" wrapText="1"/>
    </xf>
    <xf numFmtId="0" fontId="4" fillId="0" borderId="14" xfId="0" applyFont="1" applyFill="1" applyBorder="1" applyAlignment="1">
      <alignment vertical="center" wrapText="1"/>
    </xf>
    <xf numFmtId="0" fontId="4" fillId="28" borderId="83" xfId="0" applyFont="1" applyFill="1" applyBorder="1" applyAlignment="1">
      <alignment vertical="center" wrapText="1"/>
    </xf>
    <xf numFmtId="0" fontId="4" fillId="0" borderId="89" xfId="0" applyFont="1" applyBorder="1" applyAlignment="1">
      <alignment vertical="center" wrapText="1"/>
    </xf>
    <xf numFmtId="0" fontId="4" fillId="28" borderId="81" xfId="0" applyFont="1" applyFill="1" applyBorder="1" applyAlignment="1">
      <alignment vertical="center" wrapText="1"/>
    </xf>
    <xf numFmtId="0" fontId="30" fillId="28" borderId="83" xfId="0" applyFont="1" applyFill="1" applyBorder="1" applyAlignment="1">
      <alignment horizontal="center" vertical="center" wrapText="1"/>
    </xf>
    <xf numFmtId="0" fontId="4" fillId="0" borderId="0" xfId="0" applyFont="1" applyBorder="1" applyAlignment="1">
      <alignment vertical="center" wrapText="1"/>
    </xf>
    <xf numFmtId="188" fontId="4" fillId="0" borderId="85" xfId="0" applyNumberFormat="1" applyFont="1" applyBorder="1" applyAlignment="1">
      <alignment vertical="center" wrapText="1"/>
    </xf>
    <xf numFmtId="188" fontId="4" fillId="28" borderId="85" xfId="0" applyNumberFormat="1" applyFont="1" applyFill="1" applyBorder="1" applyAlignment="1">
      <alignment vertical="center" wrapText="1"/>
    </xf>
    <xf numFmtId="166" fontId="28" fillId="0" borderId="1" xfId="0" applyNumberFormat="1" applyFont="1" applyFill="1" applyBorder="1" applyAlignment="1">
      <alignment vertical="center" wrapText="1"/>
    </xf>
    <xf numFmtId="189" fontId="4" fillId="0" borderId="84" xfId="0" applyNumberFormat="1" applyFont="1" applyBorder="1" applyAlignment="1">
      <alignment vertical="center" wrapText="1"/>
    </xf>
    <xf numFmtId="189" fontId="4" fillId="0" borderId="93" xfId="0" applyNumberFormat="1" applyFont="1" applyBorder="1" applyAlignment="1">
      <alignment vertical="center" wrapText="1"/>
    </xf>
    <xf numFmtId="4" fontId="4" fillId="28" borderId="82" xfId="0" applyNumberFormat="1" applyFont="1" applyFill="1" applyBorder="1" applyAlignment="1">
      <alignment vertical="center" wrapText="1"/>
    </xf>
    <xf numFmtId="4" fontId="0" fillId="28" borderId="83" xfId="0" applyNumberFormat="1" applyFill="1" applyBorder="1" applyAlignment="1">
      <alignment vertical="center" wrapText="1"/>
    </xf>
    <xf numFmtId="4" fontId="0" fillId="28" borderId="82" xfId="0" applyNumberFormat="1" applyFill="1" applyBorder="1" applyAlignment="1">
      <alignment vertical="center" wrapText="1"/>
    </xf>
    <xf numFmtId="4" fontId="0" fillId="28" borderId="92" xfId="0" applyNumberFormat="1" applyFill="1" applyBorder="1" applyAlignment="1">
      <alignment vertical="center" wrapText="1"/>
    </xf>
    <xf numFmtId="4" fontId="4" fillId="0" borderId="88" xfId="0" applyNumberFormat="1" applyFont="1" applyBorder="1" applyAlignment="1">
      <alignment vertical="center" wrapText="1"/>
    </xf>
    <xf numFmtId="4" fontId="0" fillId="0" borderId="89" xfId="0" applyNumberFormat="1" applyBorder="1" applyAlignment="1">
      <alignment vertical="center" wrapText="1"/>
    </xf>
    <xf numFmtId="4" fontId="0" fillId="0" borderId="88" xfId="0" applyNumberFormat="1" applyBorder="1" applyAlignment="1">
      <alignment vertical="center" wrapText="1"/>
    </xf>
    <xf numFmtId="4" fontId="0" fillId="0" borderId="95" xfId="0" applyNumberFormat="1" applyBorder="1" applyAlignment="1">
      <alignment vertical="center" wrapText="1"/>
    </xf>
    <xf numFmtId="190" fontId="4" fillId="0" borderId="93" xfId="0" applyNumberFormat="1" applyFont="1" applyBorder="1" applyAlignment="1">
      <alignment vertical="center" wrapText="1"/>
    </xf>
    <xf numFmtId="0" fontId="31" fillId="0" borderId="111" xfId="0" applyFont="1" applyBorder="1" applyAlignment="1">
      <alignment vertical="center" wrapText="1"/>
    </xf>
    <xf numFmtId="191" fontId="45" fillId="0" borderId="113" xfId="0" applyNumberFormat="1" applyFont="1" applyFill="1" applyBorder="1" applyAlignment="1">
      <alignment vertical="center" wrapText="1"/>
    </xf>
    <xf numFmtId="0" fontId="27" fillId="0" borderId="0" xfId="55" applyFont="1" applyBorder="1" applyAlignment="1">
      <alignment vertical="center" wrapText="1"/>
    </xf>
    <xf numFmtId="0" fontId="4" fillId="0" borderId="27" xfId="55" applyFont="1" applyFill="1" applyBorder="1" applyAlignment="1">
      <alignment vertical="center" wrapText="1"/>
    </xf>
    <xf numFmtId="0" fontId="0" fillId="0" borderId="114" xfId="0" applyFill="1" applyBorder="1" applyAlignment="1">
      <alignment vertical="center" wrapText="1"/>
    </xf>
    <xf numFmtId="166" fontId="0" fillId="0" borderId="115" xfId="0" applyNumberFormat="1" applyFill="1" applyBorder="1" applyAlignment="1">
      <alignment vertical="center" wrapText="1"/>
    </xf>
    <xf numFmtId="166" fontId="28" fillId="0" borderId="115" xfId="0" applyNumberFormat="1" applyFont="1" applyFill="1" applyBorder="1" applyAlignment="1">
      <alignment vertical="center" wrapText="1"/>
    </xf>
    <xf numFmtId="0" fontId="30" fillId="29" borderId="9" xfId="0" applyFont="1" applyFill="1" applyBorder="1" applyAlignment="1">
      <alignment horizontal="center" vertical="center" wrapText="1"/>
    </xf>
    <xf numFmtId="166" fontId="0" fillId="0" borderId="108" xfId="0" applyNumberFormat="1" applyFill="1" applyBorder="1" applyAlignment="1">
      <alignment vertical="center" wrapText="1"/>
    </xf>
    <xf numFmtId="0" fontId="31" fillId="0" borderId="6" xfId="0" applyFont="1" applyFill="1" applyBorder="1" applyAlignment="1">
      <alignment vertical="center" wrapText="1"/>
    </xf>
    <xf numFmtId="0" fontId="28" fillId="0" borderId="66" xfId="0" applyFont="1" applyFill="1" applyBorder="1" applyAlignment="1">
      <alignment vertical="center" wrapText="1"/>
    </xf>
    <xf numFmtId="0" fontId="29" fillId="29" borderId="116" xfId="0" applyFont="1" applyFill="1" applyBorder="1" applyAlignment="1">
      <alignment horizontal="center" vertical="center" wrapText="1"/>
    </xf>
    <xf numFmtId="0" fontId="0" fillId="4" borderId="117" xfId="0" applyFill="1" applyBorder="1" applyAlignment="1">
      <alignment vertical="center" wrapText="1"/>
    </xf>
    <xf numFmtId="0" fontId="0" fillId="0" borderId="118" xfId="0" applyBorder="1" applyAlignment="1">
      <alignment vertical="center" wrapText="1"/>
    </xf>
    <xf numFmtId="0" fontId="0" fillId="0" borderId="119" xfId="0" applyBorder="1" applyAlignment="1">
      <alignment vertical="center" wrapText="1"/>
    </xf>
    <xf numFmtId="0" fontId="29" fillId="0" borderId="0" xfId="55" applyFont="1" applyFill="1" applyBorder="1" applyAlignment="1">
      <alignment vertical="center" wrapText="1"/>
    </xf>
    <xf numFmtId="0" fontId="29" fillId="0" borderId="0" xfId="0" applyFont="1"/>
    <xf numFmtId="0" fontId="29" fillId="0" borderId="0" xfId="55" applyFont="1" applyAlignment="1">
      <alignment vertical="center" wrapText="1"/>
    </xf>
    <xf numFmtId="0" fontId="29" fillId="0" borderId="29" xfId="55" applyFont="1" applyBorder="1" applyAlignment="1">
      <alignment vertical="center" wrapText="1"/>
    </xf>
    <xf numFmtId="0" fontId="29" fillId="0" borderId="0" xfId="55" applyFont="1" applyFill="1" applyBorder="1" applyAlignment="1">
      <alignment horizontal="center" vertical="center" wrapText="1"/>
    </xf>
    <xf numFmtId="0" fontId="29" fillId="0" borderId="27" xfId="55" applyFont="1" applyFill="1" applyBorder="1" applyAlignment="1">
      <alignment horizontal="center" vertical="center" wrapText="1"/>
    </xf>
    <xf numFmtId="0" fontId="29" fillId="0" borderId="0" xfId="55" applyFont="1" applyAlignment="1">
      <alignment horizontal="center" vertical="center" wrapText="1"/>
    </xf>
    <xf numFmtId="0" fontId="29" fillId="0" borderId="29" xfId="55" applyFont="1" applyBorder="1" applyAlignment="1">
      <alignment horizontal="center" vertical="center" wrapText="1"/>
    </xf>
    <xf numFmtId="0" fontId="29" fillId="0" borderId="0" xfId="55" applyFont="1" applyAlignment="1">
      <alignment horizontal="left" vertical="center" wrapText="1"/>
    </xf>
    <xf numFmtId="0" fontId="29" fillId="0" borderId="0" xfId="55" applyFont="1" applyFill="1" applyBorder="1" applyAlignment="1">
      <alignment horizontal="left" vertical="center" wrapText="1"/>
    </xf>
    <xf numFmtId="0" fontId="29" fillId="29" borderId="0" xfId="0" applyFont="1" applyFill="1" applyAlignment="1">
      <alignment vertical="center" wrapText="1"/>
    </xf>
    <xf numFmtId="0" fontId="29" fillId="29" borderId="6" xfId="0" applyFont="1" applyFill="1" applyBorder="1" applyAlignment="1">
      <alignment vertical="center" wrapText="1"/>
    </xf>
    <xf numFmtId="0" fontId="29" fillId="29" borderId="80" xfId="0" applyFont="1" applyFill="1" applyBorder="1" applyAlignment="1">
      <alignment vertical="center" wrapText="1"/>
    </xf>
    <xf numFmtId="0" fontId="29" fillId="29" borderId="81" xfId="0" applyFont="1" applyFill="1" applyBorder="1" applyAlignment="1">
      <alignment horizontal="left" vertical="center" wrapText="1"/>
    </xf>
    <xf numFmtId="0" fontId="29" fillId="29" borderId="80" xfId="0" applyFont="1" applyFill="1" applyBorder="1" applyAlignment="1">
      <alignment horizontal="left" vertical="center" wrapText="1"/>
    </xf>
    <xf numFmtId="0" fontId="29" fillId="29" borderId="91" xfId="0" applyFont="1" applyFill="1" applyBorder="1" applyAlignment="1">
      <alignment horizontal="left" vertical="center" wrapText="1"/>
    </xf>
    <xf numFmtId="0" fontId="30" fillId="29" borderId="81" xfId="0" applyFont="1" applyFill="1" applyBorder="1" applyAlignment="1">
      <alignment horizontal="left" vertical="center" wrapText="1"/>
    </xf>
    <xf numFmtId="0" fontId="30" fillId="29" borderId="80" xfId="0" applyFont="1" applyFill="1" applyBorder="1" applyAlignment="1">
      <alignment horizontal="left" vertical="center" wrapText="1"/>
    </xf>
    <xf numFmtId="0" fontId="30" fillId="29" borderId="91" xfId="0" applyFont="1" applyFill="1" applyBorder="1" applyAlignment="1">
      <alignment horizontal="left" vertical="center" wrapText="1"/>
    </xf>
    <xf numFmtId="0" fontId="30" fillId="29" borderId="97" xfId="0" applyFont="1" applyFill="1" applyBorder="1" applyAlignment="1">
      <alignment horizontal="left" vertical="center" wrapText="1"/>
    </xf>
    <xf numFmtId="0" fontId="29" fillId="0" borderId="3" xfId="0" applyFont="1" applyBorder="1" applyAlignment="1">
      <alignment vertical="center" wrapText="1"/>
    </xf>
    <xf numFmtId="0" fontId="30" fillId="29" borderId="0" xfId="0" applyFont="1" applyFill="1" applyAlignment="1">
      <alignment vertical="center" wrapText="1"/>
    </xf>
    <xf numFmtId="0" fontId="30" fillId="29" borderId="6" xfId="0" applyFont="1" applyFill="1" applyBorder="1" applyAlignment="1">
      <alignment vertical="center" wrapText="1"/>
    </xf>
    <xf numFmtId="0" fontId="4" fillId="0" borderId="49" xfId="0" applyFont="1" applyBorder="1" applyAlignment="1">
      <alignment vertical="center" wrapText="1"/>
    </xf>
    <xf numFmtId="165" fontId="4" fillId="0" borderId="82" xfId="0" applyNumberFormat="1" applyFont="1" applyBorder="1" applyAlignment="1">
      <alignment vertical="center" wrapText="1"/>
    </xf>
    <xf numFmtId="178" fontId="4" fillId="0" borderId="83" xfId="0" applyNumberFormat="1" applyFont="1" applyBorder="1" applyAlignment="1">
      <alignment vertical="center" wrapText="1"/>
    </xf>
    <xf numFmtId="178" fontId="4" fillId="0" borderId="82" xfId="0" applyNumberFormat="1" applyFont="1" applyBorder="1" applyAlignment="1">
      <alignment vertical="center" wrapText="1"/>
    </xf>
    <xf numFmtId="165" fontId="4" fillId="0" borderId="92" xfId="0" applyNumberFormat="1" applyFont="1" applyBorder="1" applyAlignment="1">
      <alignment vertical="center" wrapText="1"/>
    </xf>
    <xf numFmtId="188" fontId="4" fillId="0" borderId="83" xfId="0" applyNumberFormat="1" applyFont="1" applyBorder="1" applyAlignment="1">
      <alignment vertical="center" wrapText="1"/>
    </xf>
    <xf numFmtId="166" fontId="4" fillId="0" borderId="82" xfId="0" applyNumberFormat="1" applyFont="1" applyFill="1" applyBorder="1" applyAlignment="1">
      <alignment vertical="center" wrapText="1"/>
    </xf>
    <xf numFmtId="166" fontId="4" fillId="0" borderId="92" xfId="0" applyNumberFormat="1" applyFont="1" applyFill="1" applyBorder="1" applyAlignment="1">
      <alignment vertical="center" wrapText="1"/>
    </xf>
    <xf numFmtId="166" fontId="4" fillId="0" borderId="98" xfId="0" applyNumberFormat="1" applyFont="1" applyFill="1" applyBorder="1" applyAlignment="1">
      <alignment vertical="center" wrapText="1"/>
    </xf>
    <xf numFmtId="0" fontId="0" fillId="4" borderId="120" xfId="0" applyFill="1" applyBorder="1" applyAlignment="1">
      <alignment vertical="center" wrapText="1"/>
    </xf>
    <xf numFmtId="166" fontId="31" fillId="0" borderId="113" xfId="0" applyNumberFormat="1" applyFont="1" applyFill="1" applyBorder="1" applyAlignment="1">
      <alignment vertical="center" wrapText="1"/>
    </xf>
    <xf numFmtId="166" fontId="0" fillId="0" borderId="0" xfId="0" applyNumberFormat="1" applyFill="1" applyBorder="1" applyAlignment="1">
      <alignment vertical="center" wrapText="1"/>
    </xf>
    <xf numFmtId="0" fontId="0" fillId="0" borderId="113" xfId="0" applyBorder="1" applyAlignment="1">
      <alignment vertical="center" wrapText="1"/>
    </xf>
    <xf numFmtId="166" fontId="0" fillId="0" borderId="113" xfId="0" applyNumberFormat="1" applyFill="1" applyBorder="1" applyAlignment="1">
      <alignment vertical="center" wrapText="1"/>
    </xf>
    <xf numFmtId="0" fontId="28" fillId="0" borderId="32" xfId="0" applyFont="1" applyBorder="1" applyAlignment="1">
      <alignment vertical="center" wrapText="1"/>
    </xf>
    <xf numFmtId="0" fontId="3" fillId="0" borderId="27" xfId="55" applyFont="1" applyFill="1" applyBorder="1" applyAlignment="1">
      <alignment horizontal="left" vertical="center" wrapText="1"/>
    </xf>
    <xf numFmtId="0" fontId="31" fillId="30" borderId="106" xfId="0" applyFont="1" applyFill="1" applyBorder="1" applyAlignment="1">
      <alignment vertical="center" wrapText="1"/>
    </xf>
    <xf numFmtId="0" fontId="31" fillId="31" borderId="106" xfId="0" applyFont="1" applyFill="1" applyBorder="1" applyAlignment="1">
      <alignment vertical="center" wrapText="1"/>
    </xf>
    <xf numFmtId="0" fontId="31" fillId="31" borderId="107" xfId="0" applyFont="1" applyFill="1" applyBorder="1" applyAlignment="1">
      <alignment vertical="center" wrapText="1"/>
    </xf>
    <xf numFmtId="176" fontId="31" fillId="30" borderId="106" xfId="59" applyNumberFormat="1" applyFont="1" applyFill="1" applyBorder="1" applyAlignment="1">
      <alignment vertical="center" wrapText="1"/>
    </xf>
    <xf numFmtId="166" fontId="31" fillId="30" borderId="106" xfId="0" applyNumberFormat="1" applyFont="1" applyFill="1" applyBorder="1" applyAlignment="1">
      <alignment vertical="center" wrapText="1"/>
    </xf>
    <xf numFmtId="0" fontId="31" fillId="30" borderId="111" xfId="0" applyFont="1" applyFill="1" applyBorder="1" applyAlignment="1">
      <alignment vertical="center" wrapText="1"/>
    </xf>
    <xf numFmtId="0" fontId="31" fillId="31" borderId="111" xfId="0" applyFont="1" applyFill="1" applyBorder="1" applyAlignment="1">
      <alignment vertical="center" wrapText="1"/>
    </xf>
    <xf numFmtId="0" fontId="46" fillId="0" borderId="29" xfId="55" applyFont="1" applyFill="1" applyBorder="1" applyAlignment="1">
      <alignment vertical="center"/>
    </xf>
    <xf numFmtId="0" fontId="43" fillId="0" borderId="0" xfId="55" applyFont="1" applyAlignment="1">
      <alignment vertical="center"/>
    </xf>
    <xf numFmtId="0" fontId="45" fillId="0" borderId="0" xfId="55" applyFont="1" applyAlignment="1">
      <alignment vertical="center"/>
    </xf>
    <xf numFmtId="0" fontId="27" fillId="0" borderId="30" xfId="55" applyFont="1" applyFill="1" applyBorder="1" applyAlignment="1">
      <alignment vertical="center" wrapText="1"/>
    </xf>
    <xf numFmtId="9" fontId="27" fillId="0" borderId="0" xfId="59" applyFont="1" applyBorder="1" applyAlignment="1">
      <alignment vertical="center" wrapText="1"/>
    </xf>
    <xf numFmtId="0" fontId="3" fillId="0" borderId="0" xfId="0" applyFont="1" applyAlignment="1">
      <alignment vertical="center" wrapText="1"/>
    </xf>
    <xf numFmtId="0" fontId="45" fillId="0" borderId="0" xfId="0" applyFont="1" applyAlignment="1">
      <alignment vertical="center" wrapText="1"/>
    </xf>
    <xf numFmtId="0" fontId="3" fillId="0" borderId="29" xfId="0" applyFont="1" applyBorder="1" applyAlignment="1">
      <alignment vertical="center" wrapText="1"/>
    </xf>
    <xf numFmtId="0" fontId="3" fillId="0" borderId="0" xfId="0" applyFont="1" applyBorder="1" applyAlignment="1">
      <alignment vertical="center" wrapText="1"/>
    </xf>
    <xf numFmtId="0" fontId="3" fillId="0" borderId="65" xfId="0" applyFont="1" applyBorder="1" applyAlignment="1">
      <alignment vertical="center" wrapText="1"/>
    </xf>
    <xf numFmtId="167" fontId="3" fillId="0" borderId="27" xfId="0" applyNumberFormat="1" applyFont="1" applyFill="1" applyBorder="1" applyAlignment="1">
      <alignment vertical="center" wrapText="1"/>
    </xf>
    <xf numFmtId="0" fontId="3" fillId="0" borderId="38" xfId="0" applyFont="1" applyFill="1" applyBorder="1" applyAlignment="1">
      <alignment vertical="center" wrapText="1"/>
    </xf>
    <xf numFmtId="191" fontId="3" fillId="4" borderId="84" xfId="0" applyNumberFormat="1" applyFont="1" applyFill="1" applyBorder="1" applyAlignment="1">
      <alignment vertical="center" wrapText="1"/>
    </xf>
    <xf numFmtId="189" fontId="3" fillId="0" borderId="84" xfId="0" applyNumberFormat="1" applyFont="1" applyBorder="1" applyAlignment="1">
      <alignment vertical="center" wrapText="1"/>
    </xf>
    <xf numFmtId="178" fontId="3" fillId="0" borderId="85" xfId="0" applyNumberFormat="1" applyFont="1" applyBorder="1" applyAlignment="1">
      <alignment vertical="center" wrapText="1"/>
    </xf>
    <xf numFmtId="178" fontId="3" fillId="0" borderId="84" xfId="0" applyNumberFormat="1" applyFont="1" applyBorder="1" applyAlignment="1">
      <alignment vertical="center" wrapText="1"/>
    </xf>
    <xf numFmtId="189" fontId="3" fillId="0" borderId="93" xfId="0" applyNumberFormat="1" applyFont="1" applyBorder="1" applyAlignment="1">
      <alignment vertical="center" wrapText="1"/>
    </xf>
    <xf numFmtId="166" fontId="3" fillId="0" borderId="108" xfId="0" applyNumberFormat="1" applyFont="1" applyFill="1" applyBorder="1" applyAlignment="1">
      <alignment vertical="center" wrapText="1"/>
    </xf>
    <xf numFmtId="190" fontId="3" fillId="0" borderId="93" xfId="0" applyNumberFormat="1" applyFont="1" applyBorder="1" applyAlignment="1">
      <alignment vertical="center" wrapText="1"/>
    </xf>
    <xf numFmtId="0" fontId="46" fillId="28" borderId="82" xfId="0" applyFont="1" applyFill="1" applyBorder="1" applyAlignment="1">
      <alignment vertical="center"/>
    </xf>
    <xf numFmtId="189" fontId="3" fillId="4" borderId="93" xfId="0" applyNumberFormat="1" applyFont="1" applyFill="1" applyBorder="1" applyAlignment="1">
      <alignment vertical="center" wrapText="1"/>
    </xf>
    <xf numFmtId="165" fontId="3" fillId="0" borderId="84" xfId="0" applyNumberFormat="1" applyFont="1" applyBorder="1" applyAlignment="1">
      <alignment vertical="center" wrapText="1"/>
    </xf>
    <xf numFmtId="0" fontId="43" fillId="0" borderId="30" xfId="55" applyFont="1" applyBorder="1" applyAlignment="1">
      <alignment vertical="center"/>
    </xf>
    <xf numFmtId="0" fontId="46" fillId="0" borderId="0" xfId="55" applyFont="1" applyAlignment="1">
      <alignment vertical="center"/>
    </xf>
    <xf numFmtId="191" fontId="28" fillId="0" borderId="0" xfId="0" applyNumberFormat="1" applyFont="1" applyAlignment="1">
      <alignment vertical="center" wrapText="1"/>
    </xf>
    <xf numFmtId="165" fontId="3" fillId="0" borderId="93" xfId="0" applyNumberFormat="1" applyFont="1" applyBorder="1" applyAlignment="1">
      <alignment vertical="center" wrapText="1"/>
    </xf>
    <xf numFmtId="0" fontId="3" fillId="0" borderId="0" xfId="55" applyFont="1" applyAlignment="1">
      <alignment horizontal="left" vertical="center"/>
    </xf>
    <xf numFmtId="191" fontId="3" fillId="0" borderId="0" xfId="0" applyNumberFormat="1" applyFont="1" applyAlignment="1">
      <alignment vertical="center" wrapText="1"/>
    </xf>
    <xf numFmtId="0" fontId="30" fillId="30" borderId="25" xfId="0" applyFont="1" applyFill="1" applyBorder="1" applyAlignment="1">
      <alignment horizontal="left" vertical="center"/>
    </xf>
    <xf numFmtId="166" fontId="27" fillId="30" borderId="37" xfId="55" applyNumberFormat="1" applyFont="1" applyFill="1" applyBorder="1" applyAlignment="1">
      <alignment vertical="center" wrapText="1"/>
    </xf>
    <xf numFmtId="0" fontId="31" fillId="0" borderId="122" xfId="0" applyFont="1" applyBorder="1" applyAlignment="1">
      <alignment vertical="center" wrapText="1"/>
    </xf>
    <xf numFmtId="9" fontId="31" fillId="4" borderId="29" xfId="59" applyFont="1" applyFill="1" applyBorder="1" applyAlignment="1">
      <alignment vertical="center" wrapText="1"/>
    </xf>
    <xf numFmtId="0" fontId="31" fillId="0" borderId="123" xfId="0" applyFont="1" applyBorder="1" applyAlignment="1">
      <alignment vertical="center" wrapText="1"/>
    </xf>
    <xf numFmtId="9" fontId="31" fillId="4" borderId="67" xfId="59" applyFont="1" applyFill="1" applyBorder="1" applyAlignment="1">
      <alignment vertical="center" wrapText="1"/>
    </xf>
    <xf numFmtId="0" fontId="30" fillId="31" borderId="25" xfId="0" applyFont="1" applyFill="1" applyBorder="1" applyAlignment="1">
      <alignment horizontal="left" vertical="center"/>
    </xf>
    <xf numFmtId="166" fontId="27" fillId="31" borderId="37" xfId="55" applyNumberFormat="1" applyFont="1" applyFill="1" applyBorder="1" applyAlignment="1">
      <alignment vertical="center" wrapText="1"/>
    </xf>
    <xf numFmtId="9" fontId="31" fillId="4" borderId="29" xfId="59" applyNumberFormat="1" applyFont="1" applyFill="1" applyBorder="1" applyAlignment="1">
      <alignment vertical="center" wrapText="1"/>
    </xf>
    <xf numFmtId="9" fontId="31" fillId="4" borderId="67" xfId="59" applyNumberFormat="1" applyFont="1" applyFill="1" applyBorder="1" applyAlignment="1">
      <alignment vertical="center" wrapText="1"/>
    </xf>
    <xf numFmtId="0" fontId="31" fillId="31" borderId="124" xfId="0" applyFont="1" applyFill="1" applyBorder="1" applyAlignment="1">
      <alignment vertical="center" wrapText="1"/>
    </xf>
    <xf numFmtId="166" fontId="31" fillId="30" borderId="111" xfId="0" applyNumberFormat="1" applyFont="1" applyFill="1" applyBorder="1" applyAlignment="1">
      <alignment vertical="center" wrapText="1"/>
    </xf>
    <xf numFmtId="0" fontId="0" fillId="32" borderId="35" xfId="55" applyFont="1" applyFill="1" applyBorder="1" applyAlignment="1">
      <alignment vertical="center" wrapText="1"/>
    </xf>
    <xf numFmtId="0" fontId="29" fillId="32" borderId="36" xfId="55" applyFont="1" applyFill="1" applyBorder="1" applyAlignment="1">
      <alignment vertical="center" wrapText="1"/>
    </xf>
    <xf numFmtId="0" fontId="0" fillId="32" borderId="35" xfId="0" applyFont="1" applyFill="1" applyBorder="1"/>
    <xf numFmtId="0" fontId="0" fillId="32" borderId="36" xfId="55" applyFont="1" applyFill="1" applyBorder="1" applyAlignment="1">
      <alignment vertical="center" wrapText="1"/>
    </xf>
    <xf numFmtId="188" fontId="3" fillId="0" borderId="85" xfId="0" applyNumberFormat="1" applyFont="1" applyBorder="1" applyAlignment="1">
      <alignment vertical="center" wrapText="1"/>
    </xf>
    <xf numFmtId="0" fontId="27" fillId="0" borderId="106" xfId="55" applyFont="1" applyFill="1" applyBorder="1" applyAlignment="1">
      <alignment vertical="center" wrapText="1"/>
    </xf>
    <xf numFmtId="10" fontId="27" fillId="0" borderId="106" xfId="56" applyNumberFormat="1" applyFont="1" applyFill="1" applyBorder="1" applyAlignment="1">
      <alignment vertical="center" wrapText="1"/>
    </xf>
    <xf numFmtId="178" fontId="27" fillId="0" borderId="106" xfId="55" applyNumberFormat="1" applyFont="1" applyFill="1" applyBorder="1" applyAlignment="1">
      <alignment vertical="center" wrapText="1"/>
    </xf>
    <xf numFmtId="167" fontId="27" fillId="0" borderId="106" xfId="55" applyNumberFormat="1" applyFont="1" applyFill="1" applyBorder="1" applyAlignment="1">
      <alignment vertical="center" wrapText="1"/>
    </xf>
    <xf numFmtId="180" fontId="27" fillId="0" borderId="106" xfId="55" applyNumberFormat="1" applyFont="1" applyFill="1" applyBorder="1" applyAlignment="1">
      <alignment vertical="center" wrapText="1"/>
    </xf>
    <xf numFmtId="0" fontId="27" fillId="0" borderId="106" xfId="55" applyFont="1" applyFill="1" applyBorder="1" applyAlignment="1">
      <alignment horizontal="center" vertical="center" wrapText="1"/>
    </xf>
    <xf numFmtId="9" fontId="27" fillId="0" borderId="106" xfId="56" applyFont="1" applyFill="1" applyBorder="1" applyAlignment="1">
      <alignment horizontal="center" vertical="center" wrapText="1"/>
    </xf>
    <xf numFmtId="0" fontId="29" fillId="0" borderId="0" xfId="55" applyFont="1" applyFill="1" applyBorder="1" applyAlignment="1">
      <alignment horizontal="right" vertical="center" wrapText="1"/>
    </xf>
    <xf numFmtId="180" fontId="29" fillId="0" borderId="0" xfId="55" applyNumberFormat="1" applyFont="1" applyFill="1" applyBorder="1" applyAlignment="1">
      <alignment vertical="center" wrapText="1"/>
    </xf>
    <xf numFmtId="16" fontId="46" fillId="0" borderId="29" xfId="55" quotePrefix="1" applyNumberFormat="1" applyFont="1" applyFill="1" applyBorder="1" applyAlignment="1">
      <alignment horizontal="left" vertical="center" wrapText="1"/>
    </xf>
    <xf numFmtId="0" fontId="0" fillId="0" borderId="106" xfId="55" applyFont="1" applyFill="1" applyBorder="1" applyAlignment="1">
      <alignment vertical="center" wrapText="1"/>
    </xf>
    <xf numFmtId="0" fontId="27" fillId="0" borderId="28" xfId="55" applyFont="1" applyBorder="1" applyAlignment="1">
      <alignment vertical="center" wrapText="1"/>
    </xf>
    <xf numFmtId="166" fontId="27" fillId="0" borderId="28" xfId="55" applyNumberFormat="1" applyFont="1" applyFill="1" applyBorder="1" applyAlignment="1">
      <alignment vertical="center" wrapText="1"/>
    </xf>
    <xf numFmtId="166" fontId="27" fillId="0" borderId="1" xfId="55" applyNumberFormat="1" applyFont="1" applyFill="1" applyBorder="1" applyAlignment="1">
      <alignment vertical="center" wrapText="1"/>
    </xf>
    <xf numFmtId="0" fontId="27" fillId="0" borderId="14" xfId="55" applyFont="1" applyBorder="1" applyAlignment="1">
      <alignment vertical="center" wrapText="1"/>
    </xf>
    <xf numFmtId="0" fontId="46" fillId="0" borderId="29" xfId="55" applyFont="1" applyBorder="1" applyAlignment="1">
      <alignment horizontal="left" vertical="center" wrapText="1"/>
    </xf>
    <xf numFmtId="3" fontId="3" fillId="4" borderId="106" xfId="55" applyNumberFormat="1" applyFont="1" applyFill="1" applyBorder="1" applyAlignment="1">
      <alignment vertical="center" wrapText="1"/>
    </xf>
    <xf numFmtId="0" fontId="27" fillId="0" borderId="12" xfId="55" applyFont="1" applyBorder="1" applyAlignment="1">
      <alignment horizontal="center" vertical="center" wrapText="1"/>
    </xf>
    <xf numFmtId="170" fontId="27" fillId="4" borderId="12" xfId="55" applyNumberFormat="1" applyFont="1" applyFill="1" applyBorder="1" applyAlignment="1">
      <alignment horizontal="right" vertical="center" wrapText="1"/>
    </xf>
    <xf numFmtId="170" fontId="27" fillId="4" borderId="1" xfId="55" applyNumberFormat="1" applyFont="1" applyFill="1" applyBorder="1" applyAlignment="1">
      <alignment horizontal="right" vertical="center" wrapText="1"/>
    </xf>
    <xf numFmtId="170" fontId="27" fillId="4" borderId="13" xfId="55" applyNumberFormat="1" applyFont="1" applyFill="1" applyBorder="1" applyAlignment="1">
      <alignment vertical="center" wrapText="1"/>
    </xf>
    <xf numFmtId="170" fontId="27" fillId="0" borderId="52" xfId="55" applyNumberFormat="1" applyFont="1" applyFill="1" applyBorder="1" applyAlignment="1">
      <alignment horizontal="right" vertical="center" wrapText="1"/>
    </xf>
    <xf numFmtId="170" fontId="27" fillId="0" borderId="12" xfId="55" applyNumberFormat="1" applyFont="1" applyFill="1" applyBorder="1" applyAlignment="1">
      <alignment horizontal="right" vertical="center" wrapText="1"/>
    </xf>
    <xf numFmtId="170" fontId="27" fillId="0" borderId="1" xfId="55" applyNumberFormat="1" applyFont="1" applyFill="1" applyBorder="1" applyAlignment="1">
      <alignment horizontal="right" vertical="center" wrapText="1"/>
    </xf>
    <xf numFmtId="0" fontId="27" fillId="0" borderId="27" xfId="55" applyFont="1" applyFill="1" applyBorder="1" applyAlignment="1">
      <alignment vertical="center"/>
    </xf>
    <xf numFmtId="174" fontId="27" fillId="0" borderId="1" xfId="55" applyNumberFormat="1" applyFont="1" applyBorder="1" applyAlignment="1">
      <alignment vertical="center" wrapText="1"/>
    </xf>
    <xf numFmtId="172" fontId="27" fillId="0" borderId="1" xfId="55" applyNumberFormat="1" applyFont="1" applyFill="1" applyBorder="1" applyAlignment="1">
      <alignment horizontal="right" vertical="center" wrapText="1"/>
    </xf>
    <xf numFmtId="173" fontId="27" fillId="0" borderId="1" xfId="55" applyNumberFormat="1" applyFont="1" applyBorder="1" applyAlignment="1">
      <alignment horizontal="right" vertical="center" wrapText="1"/>
    </xf>
    <xf numFmtId="0" fontId="3" fillId="0" borderId="27" xfId="55" applyFont="1" applyFill="1" applyBorder="1" applyAlignment="1">
      <alignment vertical="center"/>
    </xf>
    <xf numFmtId="170" fontId="3" fillId="0" borderId="12" xfId="55" applyNumberFormat="1" applyFont="1" applyFill="1" applyBorder="1" applyAlignment="1">
      <alignment horizontal="right" vertical="center" wrapText="1"/>
    </xf>
    <xf numFmtId="174" fontId="3" fillId="0" borderId="1" xfId="55" applyNumberFormat="1" applyFont="1" applyBorder="1" applyAlignment="1">
      <alignment vertical="center" wrapText="1"/>
    </xf>
    <xf numFmtId="172" fontId="3" fillId="0" borderId="1" xfId="55" applyNumberFormat="1" applyFont="1" applyFill="1" applyBorder="1" applyAlignment="1">
      <alignment horizontal="right" vertical="center" wrapText="1"/>
    </xf>
    <xf numFmtId="173" fontId="3" fillId="0" borderId="1" xfId="55" applyNumberFormat="1" applyFont="1" applyBorder="1" applyAlignment="1">
      <alignment vertical="center" wrapText="1"/>
    </xf>
    <xf numFmtId="172" fontId="27" fillId="0" borderId="12" xfId="55" applyNumberFormat="1" applyFont="1" applyFill="1" applyBorder="1" applyAlignment="1">
      <alignment horizontal="right" vertical="center" wrapText="1"/>
    </xf>
    <xf numFmtId="0" fontId="27" fillId="2" borderId="1" xfId="55" applyFont="1" applyFill="1" applyBorder="1" applyAlignment="1">
      <alignment horizontal="center" vertical="center" wrapText="1"/>
    </xf>
    <xf numFmtId="0" fontId="28" fillId="0" borderId="0" xfId="55" applyFont="1" applyBorder="1" applyAlignment="1">
      <alignment vertical="center" wrapText="1"/>
    </xf>
    <xf numFmtId="170" fontId="27" fillId="0" borderId="34" xfId="55" applyNumberFormat="1" applyFont="1" applyFill="1" applyBorder="1" applyAlignment="1">
      <alignment horizontal="right" vertical="center" wrapText="1"/>
    </xf>
    <xf numFmtId="0" fontId="27" fillId="0" borderId="0" xfId="55" applyFont="1" applyBorder="1" applyAlignment="1">
      <alignment horizontal="center" vertical="center" wrapText="1"/>
    </xf>
    <xf numFmtId="0" fontId="3" fillId="0" borderId="1" xfId="55" applyFont="1" applyBorder="1" applyAlignment="1">
      <alignment horizontal="center" vertical="center" wrapText="1"/>
    </xf>
    <xf numFmtId="0" fontId="3" fillId="3" borderId="1" xfId="55" applyFont="1" applyFill="1" applyBorder="1" applyAlignment="1">
      <alignment horizontal="center" vertical="center" wrapText="1"/>
    </xf>
    <xf numFmtId="0" fontId="27" fillId="0" borderId="0" xfId="55" applyFont="1" applyAlignment="1">
      <alignment horizontal="center" vertical="center" wrapText="1"/>
    </xf>
    <xf numFmtId="0" fontId="3" fillId="4" borderId="1" xfId="55" applyFont="1" applyFill="1" applyBorder="1" applyAlignment="1">
      <alignment horizontal="center" vertical="center" wrapText="1"/>
    </xf>
    <xf numFmtId="169" fontId="3" fillId="0" borderId="1" xfId="55" applyNumberFormat="1" applyFont="1" applyBorder="1" applyAlignment="1">
      <alignment vertical="center" wrapText="1"/>
    </xf>
    <xf numFmtId="4" fontId="27" fillId="0" borderId="1" xfId="55" applyNumberFormat="1" applyFont="1" applyBorder="1" applyAlignment="1">
      <alignment vertical="center" wrapText="1"/>
    </xf>
    <xf numFmtId="171" fontId="3" fillId="0" borderId="1" xfId="35" applyNumberFormat="1" applyFont="1" applyFill="1" applyBorder="1" applyAlignment="1" applyProtection="1">
      <alignment horizontal="right" vertical="center" wrapText="1"/>
      <protection locked="0"/>
    </xf>
    <xf numFmtId="187" fontId="3" fillId="0" borderId="1" xfId="55" applyNumberFormat="1" applyFont="1" applyFill="1" applyBorder="1" applyAlignment="1">
      <alignment horizontal="right" vertical="center" wrapText="1"/>
    </xf>
    <xf numFmtId="0" fontId="27" fillId="32" borderId="35" xfId="55" applyFont="1" applyFill="1" applyBorder="1" applyAlignment="1">
      <alignment vertical="center" wrapText="1"/>
    </xf>
    <xf numFmtId="0" fontId="27" fillId="0" borderId="12" xfId="55" applyFont="1" applyFill="1" applyBorder="1" applyAlignment="1">
      <alignment horizontal="center" vertical="center" wrapText="1"/>
    </xf>
    <xf numFmtId="0" fontId="3" fillId="0" borderId="1" xfId="55" applyFont="1" applyFill="1" applyBorder="1" applyAlignment="1">
      <alignment horizontal="center" vertical="center" wrapText="1"/>
    </xf>
    <xf numFmtId="185" fontId="27" fillId="0" borderId="12" xfId="55" applyNumberFormat="1" applyFont="1" applyFill="1" applyBorder="1" applyAlignment="1">
      <alignment horizontal="right" vertical="center" wrapText="1"/>
    </xf>
    <xf numFmtId="180" fontId="3" fillId="0" borderId="1" xfId="55" applyNumberFormat="1" applyFont="1" applyFill="1" applyBorder="1" applyAlignment="1">
      <alignment horizontal="right" vertical="center" wrapText="1"/>
    </xf>
    <xf numFmtId="0" fontId="3" fillId="0" borderId="12" xfId="55" applyFont="1" applyFill="1" applyBorder="1" applyAlignment="1">
      <alignment horizontal="center" vertical="center" wrapText="1"/>
    </xf>
    <xf numFmtId="179" fontId="3" fillId="0" borderId="12" xfId="55" applyNumberFormat="1" applyFont="1" applyFill="1" applyBorder="1" applyAlignment="1">
      <alignment vertical="center" wrapText="1"/>
    </xf>
    <xf numFmtId="180" fontId="3" fillId="0" borderId="1" xfId="55" applyNumberFormat="1" applyFont="1" applyFill="1" applyBorder="1" applyAlignment="1">
      <alignment horizontal="center" vertical="center" wrapText="1"/>
    </xf>
    <xf numFmtId="177" fontId="3" fillId="0" borderId="0" xfId="55" applyNumberFormat="1" applyFont="1" applyAlignment="1">
      <alignment horizontal="left" vertical="center" wrapText="1"/>
    </xf>
    <xf numFmtId="0" fontId="3" fillId="0" borderId="0" xfId="55" applyFont="1" applyFill="1" applyAlignment="1">
      <alignment vertical="center" wrapText="1"/>
    </xf>
    <xf numFmtId="174" fontId="3" fillId="0" borderId="113" xfId="55" applyNumberFormat="1" applyFont="1" applyBorder="1" applyAlignment="1">
      <alignment vertical="center" wrapText="1"/>
    </xf>
    <xf numFmtId="172" fontId="3" fillId="0" borderId="113" xfId="55" applyNumberFormat="1" applyFont="1" applyFill="1" applyBorder="1" applyAlignment="1">
      <alignment horizontal="right" vertical="center" wrapText="1"/>
    </xf>
    <xf numFmtId="173" fontId="3" fillId="0" borderId="113" xfId="55" applyNumberFormat="1" applyFont="1" applyBorder="1" applyAlignment="1">
      <alignment vertical="center" wrapText="1"/>
    </xf>
    <xf numFmtId="0" fontId="0" fillId="0" borderId="29" xfId="0" applyFont="1" applyBorder="1" applyAlignment="1">
      <alignment vertical="center" wrapText="1"/>
    </xf>
    <xf numFmtId="0" fontId="0" fillId="0" borderId="44" xfId="0" applyFont="1" applyBorder="1" applyAlignment="1">
      <alignment vertical="center" wrapText="1"/>
    </xf>
    <xf numFmtId="0" fontId="0" fillId="0" borderId="32" xfId="0" applyFont="1" applyBorder="1" applyAlignment="1">
      <alignment vertical="center" wrapText="1"/>
    </xf>
    <xf numFmtId="0" fontId="3" fillId="0" borderId="111" xfId="0" applyFont="1" applyFill="1" applyBorder="1" applyAlignment="1">
      <alignment vertical="center" wrapText="1"/>
    </xf>
    <xf numFmtId="0" fontId="3" fillId="0" borderId="108" xfId="0" applyFont="1" applyFill="1" applyBorder="1" applyAlignment="1">
      <alignment vertical="center" wrapText="1"/>
    </xf>
    <xf numFmtId="0" fontId="3" fillId="0" borderId="1" xfId="0" applyFont="1" applyFill="1" applyBorder="1" applyAlignment="1">
      <alignment vertical="center" wrapText="1"/>
    </xf>
    <xf numFmtId="191" fontId="3" fillId="0" borderId="108" xfId="0" applyNumberFormat="1" applyFont="1" applyFill="1" applyBorder="1" applyAlignment="1">
      <alignment vertical="center" wrapText="1"/>
    </xf>
    <xf numFmtId="191" fontId="3" fillId="0" borderId="1" xfId="0" applyNumberFormat="1" applyFont="1" applyFill="1" applyBorder="1" applyAlignment="1">
      <alignment vertical="center" wrapText="1"/>
    </xf>
    <xf numFmtId="0" fontId="3" fillId="0" borderId="104" xfId="0" applyFont="1" applyFill="1" applyBorder="1" applyAlignment="1">
      <alignment vertical="center" wrapText="1"/>
    </xf>
    <xf numFmtId="191" fontId="3" fillId="0" borderId="110" xfId="0" applyNumberFormat="1" applyFont="1" applyFill="1" applyBorder="1" applyAlignment="1">
      <alignment vertical="center" wrapText="1"/>
    </xf>
    <xf numFmtId="191" fontId="3" fillId="0" borderId="54" xfId="0" applyNumberFormat="1" applyFont="1" applyFill="1" applyBorder="1" applyAlignment="1">
      <alignment vertical="center" wrapText="1"/>
    </xf>
    <xf numFmtId="0" fontId="0" fillId="0" borderId="0" xfId="0" applyFont="1" applyAlignment="1">
      <alignment vertical="center" wrapText="1"/>
    </xf>
    <xf numFmtId="0" fontId="3" fillId="0" borderId="111" xfId="0" applyFont="1" applyBorder="1" applyAlignment="1">
      <alignment vertical="center" wrapText="1"/>
    </xf>
    <xf numFmtId="0" fontId="3" fillId="0" borderId="108" xfId="0" applyFont="1" applyBorder="1" applyAlignment="1">
      <alignment vertical="center" wrapText="1"/>
    </xf>
    <xf numFmtId="0" fontId="3" fillId="0" borderId="1" xfId="0" applyFont="1" applyBorder="1" applyAlignment="1">
      <alignment vertical="center" wrapText="1"/>
    </xf>
    <xf numFmtId="0" fontId="3" fillId="30" borderId="111" xfId="0" applyFont="1" applyFill="1" applyBorder="1" applyAlignment="1">
      <alignment vertical="center" wrapText="1"/>
    </xf>
    <xf numFmtId="0" fontId="3" fillId="30" borderId="34" xfId="0" applyFont="1" applyFill="1" applyBorder="1" applyAlignment="1">
      <alignment vertical="center" wrapText="1"/>
    </xf>
    <xf numFmtId="182" fontId="3" fillId="30" borderId="1" xfId="55" applyNumberFormat="1" applyFont="1" applyFill="1" applyBorder="1" applyAlignment="1">
      <alignment vertical="center" wrapText="1"/>
    </xf>
    <xf numFmtId="0" fontId="3" fillId="31" borderId="111" xfId="0" applyFont="1" applyFill="1" applyBorder="1" applyAlignment="1">
      <alignment vertical="center" wrapText="1"/>
    </xf>
    <xf numFmtId="0" fontId="3" fillId="31" borderId="34" xfId="0" applyFont="1" applyFill="1" applyBorder="1" applyAlignment="1">
      <alignment vertical="center" wrapText="1"/>
    </xf>
    <xf numFmtId="182" fontId="3" fillId="31" borderId="1" xfId="55" applyNumberFormat="1" applyFont="1" applyFill="1" applyBorder="1" applyAlignment="1">
      <alignment vertical="center" wrapText="1"/>
    </xf>
    <xf numFmtId="0" fontId="3" fillId="0" borderId="104" xfId="0" applyFont="1" applyBorder="1" applyAlignment="1">
      <alignment vertical="center" wrapText="1"/>
    </xf>
    <xf numFmtId="0" fontId="3" fillId="0" borderId="121" xfId="0" applyFont="1" applyBorder="1" applyAlignment="1">
      <alignment vertical="center" wrapText="1"/>
    </xf>
    <xf numFmtId="192" fontId="3" fillId="0" borderId="54" xfId="55" applyNumberFormat="1" applyFont="1" applyFill="1" applyBorder="1" applyAlignment="1">
      <alignment vertical="center" wrapText="1"/>
    </xf>
    <xf numFmtId="182" fontId="3" fillId="0" borderId="0" xfId="55" applyNumberFormat="1" applyFont="1" applyFill="1" applyBorder="1" applyAlignment="1">
      <alignment vertical="center" wrapText="1"/>
    </xf>
    <xf numFmtId="191" fontId="3" fillId="0" borderId="108" xfId="0" applyNumberFormat="1" applyFont="1" applyBorder="1" applyAlignment="1">
      <alignment vertical="center" wrapText="1"/>
    </xf>
    <xf numFmtId="166" fontId="0" fillId="0" borderId="0" xfId="0" applyNumberFormat="1" applyFont="1" applyAlignment="1">
      <alignment vertical="center" wrapText="1"/>
    </xf>
    <xf numFmtId="166" fontId="3" fillId="0" borderId="108" xfId="0" applyNumberFormat="1" applyFont="1" applyBorder="1" applyAlignment="1">
      <alignment vertical="center" wrapText="1"/>
    </xf>
    <xf numFmtId="166" fontId="3" fillId="0" borderId="1" xfId="0" applyNumberFormat="1" applyFont="1" applyBorder="1" applyAlignment="1">
      <alignment vertical="center" wrapText="1"/>
    </xf>
    <xf numFmtId="0" fontId="3" fillId="0" borderId="112" xfId="0" applyFont="1" applyBorder="1" applyAlignment="1">
      <alignment vertical="center" wrapText="1"/>
    </xf>
    <xf numFmtId="166" fontId="3" fillId="0" borderId="106" xfId="0" applyNumberFormat="1" applyFont="1" applyBorder="1" applyAlignment="1">
      <alignment vertical="center" wrapText="1"/>
    </xf>
    <xf numFmtId="166" fontId="3" fillId="0" borderId="110" xfId="0" applyNumberFormat="1" applyFont="1" applyBorder="1" applyAlignment="1">
      <alignment vertical="center" wrapText="1"/>
    </xf>
    <xf numFmtId="166" fontId="3" fillId="0" borderId="54" xfId="0" applyNumberFormat="1" applyFont="1" applyBorder="1" applyAlignment="1">
      <alignment vertical="center" wrapText="1"/>
    </xf>
    <xf numFmtId="0" fontId="3" fillId="0" borderId="27" xfId="55" applyFont="1" applyFill="1" applyBorder="1" applyAlignment="1">
      <alignment vertical="center" wrapText="1"/>
    </xf>
    <xf numFmtId="0" fontId="3" fillId="3" borderId="28" xfId="55" applyFont="1" applyFill="1" applyBorder="1" applyAlignment="1">
      <alignment horizontal="center" vertical="center" wrapText="1"/>
    </xf>
    <xf numFmtId="184" fontId="3" fillId="5" borderId="28" xfId="35" applyNumberFormat="1" applyFont="1" applyFill="1" applyBorder="1" applyAlignment="1" applyProtection="1">
      <alignment horizontal="right" vertical="center" wrapText="1"/>
      <protection locked="0"/>
    </xf>
    <xf numFmtId="4" fontId="3" fillId="5" borderId="1" xfId="35" applyNumberFormat="1" applyFont="1" applyFill="1" applyBorder="1" applyAlignment="1" applyProtection="1">
      <alignment horizontal="right" vertical="center" wrapText="1"/>
      <protection locked="0"/>
    </xf>
    <xf numFmtId="2" fontId="3" fillId="0" borderId="1" xfId="55" applyNumberFormat="1" applyFont="1" applyBorder="1" applyAlignment="1">
      <alignment horizontal="center" vertical="center" wrapText="1"/>
    </xf>
    <xf numFmtId="16" fontId="46" fillId="0" borderId="29" xfId="55" quotePrefix="1" applyNumberFormat="1" applyFont="1" applyFill="1" applyBorder="1" applyAlignment="1">
      <alignment horizontal="left" vertical="center"/>
    </xf>
    <xf numFmtId="191" fontId="3" fillId="0" borderId="106" xfId="59" applyNumberFormat="1" applyFont="1" applyFill="1" applyBorder="1" applyAlignment="1">
      <alignment horizontal="right" vertical="center" wrapText="1"/>
    </xf>
    <xf numFmtId="10" fontId="3" fillId="0" borderId="106" xfId="59" applyNumberFormat="1" applyFont="1" applyFill="1" applyBorder="1" applyAlignment="1">
      <alignment horizontal="right" vertical="center" wrapText="1"/>
    </xf>
    <xf numFmtId="191" fontId="27" fillId="0" borderId="0" xfId="55" applyNumberFormat="1" applyFont="1" applyFill="1" applyAlignment="1">
      <alignment vertical="center" wrapText="1"/>
    </xf>
    <xf numFmtId="0" fontId="0" fillId="0" borderId="106" xfId="55" applyFont="1" applyFill="1" applyBorder="1" applyAlignment="1">
      <alignment horizontal="center" vertical="center" wrapText="1"/>
    </xf>
    <xf numFmtId="8" fontId="27" fillId="0" borderId="106" xfId="55" applyNumberFormat="1" applyFont="1" applyFill="1" applyBorder="1" applyAlignment="1">
      <alignment vertical="center" wrapText="1"/>
    </xf>
    <xf numFmtId="0" fontId="3" fillId="0" borderId="1" xfId="55" applyFont="1" applyBorder="1" applyAlignment="1">
      <alignment horizontal="center" vertical="center" wrapText="1"/>
    </xf>
    <xf numFmtId="0" fontId="27" fillId="0" borderId="111" xfId="55" applyFont="1" applyBorder="1" applyAlignment="1">
      <alignment vertical="center" wrapText="1"/>
    </xf>
    <xf numFmtId="0" fontId="27" fillId="0" borderId="30" xfId="55" applyFont="1" applyFill="1" applyBorder="1" applyAlignment="1">
      <alignment horizontal="right" vertical="center" wrapText="1"/>
    </xf>
    <xf numFmtId="0" fontId="38" fillId="3" borderId="111" xfId="55" applyFont="1" applyFill="1" applyBorder="1" applyAlignment="1">
      <alignment horizontal="left" vertical="center" wrapText="1"/>
    </xf>
    <xf numFmtId="0" fontId="27" fillId="0" borderId="111" xfId="55" applyFont="1" applyFill="1" applyBorder="1" applyAlignment="1">
      <alignment vertical="center" wrapText="1"/>
    </xf>
    <xf numFmtId="181" fontId="27" fillId="4" borderId="120" xfId="55" applyNumberFormat="1" applyFont="1" applyFill="1" applyBorder="1" applyAlignment="1">
      <alignment vertical="center" wrapText="1"/>
    </xf>
    <xf numFmtId="9" fontId="27" fillId="4" borderId="120" xfId="59" applyFont="1" applyFill="1" applyBorder="1" applyAlignment="1">
      <alignment vertical="center" wrapText="1"/>
    </xf>
    <xf numFmtId="0" fontId="0" fillId="0" borderId="111" xfId="0" applyFill="1" applyBorder="1" applyAlignment="1">
      <alignment vertical="center" wrapText="1"/>
    </xf>
    <xf numFmtId="167" fontId="0" fillId="0" borderId="120" xfId="0" applyNumberFormat="1" applyBorder="1" applyAlignment="1">
      <alignment vertical="center" wrapText="1"/>
    </xf>
    <xf numFmtId="0" fontId="43" fillId="0" borderId="111" xfId="0" applyFont="1" applyFill="1" applyBorder="1" applyAlignment="1">
      <alignment horizontal="right" vertical="center" wrapText="1"/>
    </xf>
    <xf numFmtId="167" fontId="43" fillId="0" borderId="120" xfId="0" applyNumberFormat="1" applyFont="1" applyBorder="1" applyAlignment="1">
      <alignment vertical="center" wrapText="1"/>
    </xf>
    <xf numFmtId="0" fontId="0" fillId="0" borderId="111" xfId="55" applyFont="1" applyFill="1" applyBorder="1" applyAlignment="1">
      <alignment horizontal="left" vertical="center" wrapText="1"/>
    </xf>
    <xf numFmtId="178" fontId="27" fillId="4" borderId="120" xfId="55" applyNumberFormat="1" applyFont="1" applyFill="1" applyBorder="1" applyAlignment="1">
      <alignment horizontal="right" vertical="center" wrapText="1"/>
    </xf>
    <xf numFmtId="0" fontId="0" fillId="0" borderId="111" xfId="55" applyFont="1" applyFill="1" applyBorder="1" applyAlignment="1">
      <alignment vertical="center" wrapText="1"/>
    </xf>
    <xf numFmtId="10" fontId="27" fillId="4" borderId="120" xfId="59" applyNumberFormat="1" applyFont="1" applyFill="1" applyBorder="1" applyAlignment="1">
      <alignment horizontal="right" vertical="center" wrapText="1"/>
    </xf>
    <xf numFmtId="10" fontId="0" fillId="0" borderId="120" xfId="59" applyNumberFormat="1" applyFont="1" applyBorder="1" applyAlignment="1">
      <alignment horizontal="right" vertical="center" wrapText="1"/>
    </xf>
    <xf numFmtId="10" fontId="27" fillId="0" borderId="120" xfId="59" applyNumberFormat="1" applyFont="1" applyBorder="1" applyAlignment="1">
      <alignment horizontal="right" vertical="center" wrapText="1"/>
    </xf>
    <xf numFmtId="0" fontId="3" fillId="0" borderId="111" xfId="55" applyFont="1" applyFill="1" applyBorder="1" applyAlignment="1">
      <alignment vertical="center" wrapText="1"/>
    </xf>
    <xf numFmtId="178" fontId="3" fillId="4" borderId="120" xfId="55" applyNumberFormat="1" applyFont="1" applyFill="1" applyBorder="1" applyAlignment="1">
      <alignment horizontal="right" vertical="center" wrapText="1"/>
    </xf>
    <xf numFmtId="10" fontId="3" fillId="4" borderId="120" xfId="59" applyNumberFormat="1" applyFont="1" applyFill="1" applyBorder="1" applyAlignment="1">
      <alignment horizontal="right" vertical="center" wrapText="1"/>
    </xf>
    <xf numFmtId="191" fontId="3" fillId="4" borderId="120" xfId="59" applyNumberFormat="1" applyFont="1" applyFill="1" applyBorder="1" applyAlignment="1">
      <alignment horizontal="right" vertical="center" wrapText="1"/>
    </xf>
    <xf numFmtId="191" fontId="3" fillId="0" borderId="120" xfId="59" applyNumberFormat="1" applyFont="1" applyFill="1" applyBorder="1" applyAlignment="1">
      <alignment horizontal="right" vertical="center" wrapText="1"/>
    </xf>
    <xf numFmtId="0" fontId="0" fillId="0" borderId="15" xfId="55" applyFont="1" applyFill="1" applyBorder="1" applyAlignment="1">
      <alignment horizontal="center" vertical="center" wrapText="1"/>
    </xf>
    <xf numFmtId="193" fontId="27" fillId="0" borderId="106" xfId="55" applyNumberFormat="1" applyFont="1" applyFill="1" applyBorder="1" applyAlignment="1">
      <alignment vertical="center" wrapText="1"/>
    </xf>
    <xf numFmtId="0" fontId="38" fillId="3" borderId="111" xfId="55" applyFont="1" applyFill="1" applyBorder="1" applyAlignment="1">
      <alignment vertical="center" wrapText="1"/>
    </xf>
    <xf numFmtId="0" fontId="3" fillId="3" borderId="27" xfId="55" applyFont="1" applyFill="1" applyBorder="1" applyAlignment="1">
      <alignment vertical="center" wrapText="1"/>
    </xf>
    <xf numFmtId="0" fontId="0" fillId="0" borderId="124" xfId="55" applyFont="1" applyFill="1" applyBorder="1" applyAlignment="1">
      <alignment vertical="center"/>
    </xf>
    <xf numFmtId="187" fontId="3" fillId="0" borderId="107" xfId="55" applyNumberFormat="1" applyFont="1" applyFill="1" applyBorder="1" applyAlignment="1">
      <alignment horizontal="right" vertical="center" wrapText="1"/>
    </xf>
    <xf numFmtId="0" fontId="0" fillId="0" borderId="104" xfId="55" applyFont="1" applyFill="1" applyBorder="1" applyAlignment="1">
      <alignment vertical="center"/>
    </xf>
    <xf numFmtId="187" fontId="3" fillId="0" borderId="54" xfId="55" applyNumberFormat="1" applyFont="1" applyFill="1" applyBorder="1" applyAlignment="1">
      <alignment horizontal="right" vertical="center" wrapText="1"/>
    </xf>
    <xf numFmtId="0" fontId="43" fillId="0" borderId="0" xfId="55" applyFont="1" applyAlignment="1">
      <alignment horizontal="left" vertical="center" wrapText="1"/>
    </xf>
    <xf numFmtId="191" fontId="27" fillId="0" borderId="106" xfId="55" applyNumberFormat="1" applyFont="1" applyFill="1" applyBorder="1" applyAlignment="1">
      <alignment vertical="center" wrapText="1"/>
    </xf>
    <xf numFmtId="0" fontId="45" fillId="0" borderId="0" xfId="0" applyFont="1" applyAlignment="1">
      <alignment vertical="center"/>
    </xf>
    <xf numFmtId="191" fontId="3" fillId="0" borderId="106" xfId="0" applyNumberFormat="1" applyFont="1" applyFill="1" applyBorder="1" applyAlignment="1">
      <alignment vertical="center" wrapText="1"/>
    </xf>
    <xf numFmtId="191" fontId="3" fillId="0" borderId="120" xfId="0" applyNumberFormat="1" applyFont="1" applyFill="1" applyBorder="1" applyAlignment="1">
      <alignment vertical="center" wrapText="1"/>
    </xf>
    <xf numFmtId="0" fontId="0" fillId="0" borderId="124" xfId="0" applyBorder="1" applyAlignment="1">
      <alignment vertical="center" wrapText="1"/>
    </xf>
    <xf numFmtId="191" fontId="3" fillId="0" borderId="103" xfId="0" applyNumberFormat="1" applyFont="1" applyFill="1" applyBorder="1" applyAlignment="1">
      <alignment vertical="center" wrapText="1"/>
    </xf>
    <xf numFmtId="166" fontId="3" fillId="0" borderId="1" xfId="0" applyNumberFormat="1" applyFont="1" applyFill="1" applyBorder="1" applyAlignment="1">
      <alignment vertical="center" wrapText="1"/>
    </xf>
    <xf numFmtId="0" fontId="3" fillId="0" borderId="0" xfId="0" applyFont="1" applyFill="1" applyAlignment="1">
      <alignment vertical="center" wrapText="1"/>
    </xf>
    <xf numFmtId="0" fontId="32" fillId="29" borderId="6" xfId="0" applyFont="1" applyFill="1" applyBorder="1" applyAlignment="1">
      <alignment vertical="center" wrapText="1"/>
    </xf>
    <xf numFmtId="0" fontId="30" fillId="29" borderId="116" xfId="0" applyFont="1" applyFill="1" applyBorder="1" applyAlignment="1">
      <alignment horizontal="center" vertical="center" wrapText="1"/>
    </xf>
    <xf numFmtId="0" fontId="30" fillId="29" borderId="26" xfId="0" applyFont="1" applyFill="1" applyBorder="1" applyAlignment="1">
      <alignment horizontal="center" vertical="center" wrapText="1"/>
    </xf>
    <xf numFmtId="0" fontId="30" fillId="29" borderId="71" xfId="0" applyFont="1" applyFill="1" applyBorder="1" applyAlignment="1">
      <alignment horizontal="center" vertical="center" wrapText="1"/>
    </xf>
    <xf numFmtId="0" fontId="3" fillId="0" borderId="30" xfId="0" applyFont="1" applyBorder="1" applyAlignment="1">
      <alignment vertical="center" wrapText="1"/>
    </xf>
    <xf numFmtId="0" fontId="3" fillId="0" borderId="1" xfId="0" applyFont="1" applyFill="1" applyBorder="1" applyAlignment="1">
      <alignment horizontal="left" vertical="center" wrapText="1"/>
    </xf>
    <xf numFmtId="0" fontId="3" fillId="4" borderId="117" xfId="0" applyFont="1" applyFill="1" applyBorder="1" applyAlignment="1">
      <alignment vertical="center" wrapText="1"/>
    </xf>
    <xf numFmtId="166" fontId="3" fillId="0" borderId="27" xfId="0" applyNumberFormat="1" applyFont="1" applyFill="1" applyBorder="1" applyAlignment="1">
      <alignment vertical="center" wrapText="1"/>
    </xf>
    <xf numFmtId="0" fontId="3" fillId="0" borderId="114" xfId="0" applyFont="1" applyFill="1" applyBorder="1" applyAlignment="1">
      <alignment vertical="center" wrapText="1"/>
    </xf>
    <xf numFmtId="166" fontId="3" fillId="0" borderId="115" xfId="0" applyNumberFormat="1" applyFont="1" applyFill="1" applyBorder="1" applyAlignment="1">
      <alignment vertical="center" wrapText="1"/>
    </xf>
    <xf numFmtId="0" fontId="3" fillId="0" borderId="73" xfId="0" applyFont="1" applyFill="1" applyBorder="1" applyAlignment="1">
      <alignment vertical="center" wrapText="1"/>
    </xf>
    <xf numFmtId="0" fontId="0" fillId="0" borderId="111" xfId="55" applyFont="1" applyBorder="1" applyAlignment="1">
      <alignment vertical="center" wrapText="1"/>
    </xf>
    <xf numFmtId="0" fontId="38" fillId="33" borderId="27" xfId="55" applyFont="1" applyFill="1" applyBorder="1" applyAlignment="1">
      <alignment vertical="center" wrapText="1"/>
    </xf>
    <xf numFmtId="0" fontId="43" fillId="33" borderId="0" xfId="55" applyFont="1" applyFill="1" applyAlignment="1">
      <alignment horizontal="left" vertical="center"/>
    </xf>
    <xf numFmtId="0" fontId="0" fillId="0" borderId="12" xfId="55" applyFont="1" applyFill="1" applyBorder="1" applyAlignment="1">
      <alignment horizontal="center" vertical="center" wrapText="1"/>
    </xf>
    <xf numFmtId="0" fontId="0" fillId="0" borderId="124" xfId="55" applyFont="1" applyFill="1" applyBorder="1" applyAlignment="1">
      <alignment vertical="center" wrapText="1"/>
    </xf>
    <xf numFmtId="185" fontId="3" fillId="0" borderId="109" xfId="55" applyNumberFormat="1" applyFont="1" applyFill="1" applyBorder="1" applyAlignment="1">
      <alignment horizontal="right" vertical="center" wrapText="1"/>
    </xf>
    <xf numFmtId="180" fontId="3" fillId="0" borderId="107" xfId="55" applyNumberFormat="1" applyFont="1" applyFill="1" applyBorder="1" applyAlignment="1">
      <alignment horizontal="right" vertical="center" wrapText="1"/>
    </xf>
    <xf numFmtId="185" fontId="27" fillId="0" borderId="110" xfId="55" applyNumberFormat="1" applyFont="1" applyFill="1" applyBorder="1" applyAlignment="1">
      <alignment horizontal="right" vertical="center" wrapText="1"/>
    </xf>
    <xf numFmtId="180" fontId="3" fillId="0" borderId="54" xfId="55" applyNumberFormat="1" applyFont="1" applyFill="1" applyBorder="1" applyAlignment="1">
      <alignment horizontal="right" vertical="center" wrapText="1"/>
    </xf>
    <xf numFmtId="8" fontId="3" fillId="0" borderId="106" xfId="55" applyNumberFormat="1" applyFont="1" applyFill="1" applyBorder="1" applyAlignment="1">
      <alignment vertical="center" wrapText="1"/>
    </xf>
    <xf numFmtId="180" fontId="27" fillId="0" borderId="130" xfId="55" applyNumberFormat="1" applyFont="1" applyFill="1" applyBorder="1" applyAlignment="1">
      <alignment vertical="center" wrapText="1"/>
    </xf>
    <xf numFmtId="177" fontId="0" fillId="0" borderId="128" xfId="55" applyNumberFormat="1" applyFont="1" applyFill="1" applyBorder="1" applyAlignment="1">
      <alignment horizontal="center" vertical="center" wrapText="1"/>
    </xf>
    <xf numFmtId="2" fontId="0" fillId="0" borderId="129" xfId="55" applyNumberFormat="1" applyFont="1" applyFill="1" applyBorder="1" applyAlignment="1">
      <alignment horizontal="center" vertical="center"/>
    </xf>
    <xf numFmtId="2" fontId="0" fillId="0" borderId="130" xfId="55" applyNumberFormat="1" applyFont="1" applyFill="1" applyBorder="1" applyAlignment="1">
      <alignment horizontal="center" vertical="center"/>
    </xf>
    <xf numFmtId="176" fontId="0" fillId="0" borderId="106" xfId="56" applyNumberFormat="1" applyFont="1" applyFill="1" applyBorder="1" applyAlignment="1">
      <alignment horizontal="center" vertical="center" wrapText="1"/>
    </xf>
    <xf numFmtId="0" fontId="27" fillId="0" borderId="0" xfId="55" applyFont="1" applyFill="1" applyAlignment="1">
      <alignment horizontal="left" vertical="center"/>
    </xf>
    <xf numFmtId="176" fontId="3" fillId="4" borderId="1" xfId="56" applyNumberFormat="1" applyFont="1" applyFill="1" applyBorder="1" applyAlignment="1">
      <alignment horizontal="center" vertical="center" wrapText="1"/>
    </xf>
    <xf numFmtId="194" fontId="3" fillId="4" borderId="28" xfId="55" applyNumberFormat="1" applyFont="1" applyFill="1" applyBorder="1" applyAlignment="1">
      <alignment horizontal="right" vertical="center" wrapText="1"/>
    </xf>
    <xf numFmtId="0" fontId="2" fillId="0" borderId="59" xfId="0" applyFont="1" applyBorder="1" applyAlignment="1">
      <alignment vertical="center" wrapText="1"/>
    </xf>
    <xf numFmtId="0" fontId="2" fillId="0" borderId="47" xfId="0" applyFont="1" applyBorder="1" applyAlignment="1">
      <alignment vertical="center" wrapText="1"/>
    </xf>
    <xf numFmtId="0" fontId="2" fillId="0" borderId="50" xfId="0" applyFont="1" applyBorder="1" applyAlignment="1">
      <alignment vertical="center" wrapText="1"/>
    </xf>
    <xf numFmtId="0" fontId="0" fillId="0" borderId="47" xfId="0" applyFont="1" applyBorder="1" applyAlignment="1">
      <alignment vertical="center" wrapText="1"/>
    </xf>
    <xf numFmtId="0" fontId="0" fillId="0" borderId="59" xfId="0" applyFont="1" applyBorder="1" applyAlignment="1">
      <alignment vertical="center" wrapText="1"/>
    </xf>
    <xf numFmtId="165" fontId="0" fillId="0" borderId="84" xfId="0" applyNumberFormat="1" applyFont="1" applyBorder="1" applyAlignment="1">
      <alignment vertical="center" wrapText="1"/>
    </xf>
    <xf numFmtId="178" fontId="0" fillId="0" borderId="85" xfId="0" applyNumberFormat="1" applyFont="1" applyBorder="1" applyAlignment="1">
      <alignment vertical="center" wrapText="1"/>
    </xf>
    <xf numFmtId="178" fontId="0" fillId="0" borderId="84" xfId="0" applyNumberFormat="1" applyFont="1" applyBorder="1" applyAlignment="1">
      <alignment vertical="center" wrapText="1"/>
    </xf>
    <xf numFmtId="165" fontId="0" fillId="0" borderId="93" xfId="0" applyNumberFormat="1" applyFont="1" applyBorder="1" applyAlignment="1">
      <alignment vertical="center" wrapText="1"/>
    </xf>
    <xf numFmtId="188" fontId="0" fillId="0" borderId="85" xfId="0" applyNumberFormat="1" applyFont="1" applyBorder="1" applyAlignment="1">
      <alignment vertical="center" wrapText="1"/>
    </xf>
    <xf numFmtId="0" fontId="2" fillId="0" borderId="46" xfId="0" applyFont="1" applyBorder="1" applyAlignment="1">
      <alignment vertical="center" wrapText="1"/>
    </xf>
    <xf numFmtId="0" fontId="2" fillId="0" borderId="57" xfId="0" applyFont="1" applyBorder="1" applyAlignment="1">
      <alignment vertical="center" wrapText="1"/>
    </xf>
    <xf numFmtId="166" fontId="2" fillId="0" borderId="115" xfId="0" applyNumberFormat="1" applyFont="1" applyFill="1" applyBorder="1" applyAlignment="1">
      <alignment vertical="center" wrapText="1"/>
    </xf>
    <xf numFmtId="166" fontId="2" fillId="0" borderId="1" xfId="0" applyNumberFormat="1" applyFont="1" applyFill="1" applyBorder="1" applyAlignment="1">
      <alignment vertical="center" wrapText="1"/>
    </xf>
    <xf numFmtId="0" fontId="49" fillId="34" borderId="106" xfId="1" applyFont="1" applyFill="1" applyBorder="1" applyAlignment="1">
      <alignment horizontal="left" vertical="center" wrapText="1"/>
    </xf>
    <xf numFmtId="0" fontId="2" fillId="0" borderId="0" xfId="0" applyFont="1" applyFill="1" applyBorder="1" applyAlignment="1">
      <alignment vertical="center" wrapText="1"/>
    </xf>
    <xf numFmtId="166" fontId="2" fillId="0" borderId="29" xfId="0" applyNumberFormat="1" applyFont="1" applyFill="1" applyBorder="1" applyAlignment="1">
      <alignment vertical="center" wrapText="1"/>
    </xf>
    <xf numFmtId="0" fontId="30" fillId="0" borderId="131" xfId="0" applyFont="1" applyBorder="1" applyAlignment="1">
      <alignment vertical="center" wrapText="1"/>
    </xf>
    <xf numFmtId="0" fontId="30" fillId="0" borderId="132" xfId="0" applyFont="1" applyBorder="1" applyAlignment="1">
      <alignment vertical="center" wrapText="1"/>
    </xf>
    <xf numFmtId="0" fontId="31" fillId="30" borderId="133" xfId="0" applyFont="1" applyFill="1" applyBorder="1" applyAlignment="1">
      <alignment vertical="center" wrapText="1"/>
    </xf>
    <xf numFmtId="176" fontId="31" fillId="30" borderId="134" xfId="59" applyNumberFormat="1" applyFont="1" applyFill="1" applyBorder="1" applyAlignment="1">
      <alignment vertical="center" wrapText="1"/>
    </xf>
    <xf numFmtId="0" fontId="31" fillId="30" borderId="135" xfId="0" applyFont="1" applyFill="1" applyBorder="1" applyAlignment="1">
      <alignment vertical="center" wrapText="1"/>
    </xf>
    <xf numFmtId="166" fontId="31" fillId="30" borderId="136" xfId="0" applyNumberFormat="1" applyFont="1" applyFill="1" applyBorder="1" applyAlignment="1">
      <alignment vertical="center" wrapText="1"/>
    </xf>
    <xf numFmtId="9" fontId="31" fillId="31" borderId="111" xfId="59" applyFont="1" applyFill="1" applyBorder="1" applyAlignment="1">
      <alignment vertical="center" wrapText="1"/>
    </xf>
    <xf numFmtId="0" fontId="50" fillId="32" borderId="43" xfId="55" applyFont="1" applyFill="1" applyBorder="1" applyAlignment="1">
      <alignment vertical="center" wrapText="1"/>
    </xf>
    <xf numFmtId="0" fontId="51" fillId="32" borderId="42" xfId="55" applyFont="1" applyFill="1" applyBorder="1" applyAlignment="1">
      <alignment vertical="center" wrapText="1"/>
    </xf>
    <xf numFmtId="0" fontId="50" fillId="32" borderId="33" xfId="55" applyFont="1" applyFill="1" applyBorder="1" applyAlignment="1">
      <alignment vertical="center" wrapText="1"/>
    </xf>
    <xf numFmtId="0" fontId="50" fillId="0" borderId="0" xfId="55" applyFont="1" applyAlignment="1">
      <alignment vertical="center" wrapText="1"/>
    </xf>
    <xf numFmtId="0" fontId="52" fillId="32" borderId="0" xfId="0" applyFont="1" applyFill="1" applyAlignment="1">
      <alignment vertical="center" wrapText="1"/>
    </xf>
    <xf numFmtId="0" fontId="53" fillId="32" borderId="67" xfId="0" applyFont="1" applyFill="1" applyBorder="1" applyAlignment="1">
      <alignment vertical="center" wrapText="1"/>
    </xf>
    <xf numFmtId="0" fontId="52" fillId="0" borderId="0" xfId="0" applyFont="1" applyAlignment="1">
      <alignment vertical="center" wrapText="1"/>
    </xf>
    <xf numFmtId="0" fontId="51" fillId="32" borderId="43" xfId="0" applyFont="1" applyFill="1" applyBorder="1" applyAlignment="1">
      <alignment vertical="center" wrapText="1"/>
    </xf>
    <xf numFmtId="0" fontId="51" fillId="32" borderId="42" xfId="0" applyFont="1" applyFill="1" applyBorder="1" applyAlignment="1">
      <alignment vertical="center" wrapText="1"/>
    </xf>
    <xf numFmtId="0" fontId="0" fillId="0" borderId="0" xfId="0" applyAlignment="1" applyProtection="1">
      <alignment vertical="center" wrapText="1"/>
    </xf>
    <xf numFmtId="0" fontId="31" fillId="0" borderId="29" xfId="0" applyFont="1" applyBorder="1" applyAlignment="1" applyProtection="1">
      <alignment vertical="center" wrapText="1"/>
    </xf>
    <xf numFmtId="0" fontId="31" fillId="0" borderId="0" xfId="0" applyFont="1" applyAlignment="1" applyProtection="1">
      <alignment vertical="center" wrapText="1"/>
    </xf>
    <xf numFmtId="0" fontId="30" fillId="0" borderId="106" xfId="0" applyFont="1" applyBorder="1" applyAlignment="1" applyProtection="1">
      <alignment vertical="center" wrapText="1"/>
    </xf>
    <xf numFmtId="0" fontId="31" fillId="0" borderId="106" xfId="0" applyFont="1" applyBorder="1" applyAlignment="1" applyProtection="1">
      <alignment vertical="center" wrapText="1"/>
    </xf>
    <xf numFmtId="0" fontId="0" fillId="0" borderId="0" xfId="0" applyAlignment="1" applyProtection="1">
      <alignment wrapText="1"/>
    </xf>
    <xf numFmtId="0" fontId="30" fillId="30" borderId="29" xfId="0" applyFont="1" applyFill="1" applyBorder="1" applyAlignment="1" applyProtection="1">
      <alignment horizontal="left" vertical="center" wrapText="1"/>
    </xf>
    <xf numFmtId="0" fontId="31" fillId="0" borderId="0" xfId="0" applyFont="1" applyAlignment="1" applyProtection="1">
      <alignment horizontal="left" vertical="center" wrapText="1"/>
    </xf>
    <xf numFmtId="0" fontId="31" fillId="30" borderId="106" xfId="0" applyFont="1" applyFill="1" applyBorder="1" applyAlignment="1" applyProtection="1">
      <alignment vertical="center" wrapText="1"/>
    </xf>
    <xf numFmtId="0" fontId="30" fillId="31" borderId="29" xfId="0" applyFont="1" applyFill="1" applyBorder="1" applyAlignment="1" applyProtection="1">
      <alignment horizontal="left" vertical="center" wrapText="1"/>
    </xf>
    <xf numFmtId="0" fontId="31" fillId="31" borderId="106" xfId="0" applyFont="1" applyFill="1" applyBorder="1" applyAlignment="1" applyProtection="1">
      <alignment vertical="center" wrapText="1"/>
    </xf>
    <xf numFmtId="0" fontId="31" fillId="31" borderId="107" xfId="0" applyFont="1" applyFill="1" applyBorder="1" applyAlignment="1" applyProtection="1">
      <alignment vertical="center" wrapText="1"/>
    </xf>
    <xf numFmtId="0" fontId="30" fillId="0" borderId="54" xfId="0" applyFont="1" applyBorder="1" applyAlignment="1" applyProtection="1">
      <alignment vertical="center" wrapText="1"/>
    </xf>
    <xf numFmtId="0" fontId="51" fillId="32" borderId="43" xfId="0" applyFont="1" applyFill="1" applyBorder="1" applyAlignment="1" applyProtection="1">
      <alignment horizontal="center" vertical="center" wrapText="1"/>
    </xf>
    <xf numFmtId="0" fontId="51" fillId="32" borderId="42" xfId="0" applyFont="1" applyFill="1" applyBorder="1" applyAlignment="1" applyProtection="1">
      <alignment horizontal="center" vertical="center" wrapText="1"/>
    </xf>
    <xf numFmtId="0" fontId="53" fillId="32" borderId="43" xfId="0" applyFont="1" applyFill="1" applyBorder="1" applyAlignment="1" applyProtection="1">
      <alignment horizontal="center" vertical="center" wrapText="1"/>
    </xf>
    <xf numFmtId="0" fontId="53" fillId="32" borderId="55" xfId="0" applyFont="1" applyFill="1" applyBorder="1" applyAlignment="1" applyProtection="1">
      <alignment horizontal="center" vertical="center" wrapText="1"/>
    </xf>
    <xf numFmtId="0" fontId="53" fillId="32" borderId="56" xfId="0" applyFont="1" applyFill="1" applyBorder="1" applyAlignment="1" applyProtection="1">
      <alignment horizontal="center" vertical="center" wrapText="1"/>
    </xf>
    <xf numFmtId="0" fontId="51" fillId="0" borderId="0" xfId="0" applyFont="1" applyAlignment="1" applyProtection="1">
      <alignment horizontal="center" wrapText="1"/>
    </xf>
    <xf numFmtId="0" fontId="0" fillId="0" borderId="29" xfId="0" applyBorder="1" applyAlignment="1" applyProtection="1">
      <alignment vertical="center" wrapText="1"/>
    </xf>
    <xf numFmtId="0" fontId="31" fillId="0" borderId="6" xfId="0" applyFont="1" applyBorder="1" applyAlignment="1" applyProtection="1">
      <alignment vertical="center" wrapText="1"/>
    </xf>
    <xf numFmtId="0" fontId="32" fillId="29" borderId="29" xfId="0" applyFont="1" applyFill="1" applyBorder="1" applyAlignment="1" applyProtection="1">
      <alignment vertical="center" wrapText="1"/>
    </xf>
    <xf numFmtId="0" fontId="31" fillId="29" borderId="0" xfId="0" applyFont="1" applyFill="1" applyAlignment="1" applyProtection="1">
      <alignment vertical="center" wrapText="1"/>
    </xf>
    <xf numFmtId="0" fontId="31" fillId="29" borderId="6" xfId="0" applyFont="1" applyFill="1" applyBorder="1" applyAlignment="1" applyProtection="1">
      <alignment vertical="center" wrapText="1"/>
    </xf>
    <xf numFmtId="0" fontId="30" fillId="29" borderId="5" xfId="0" applyFont="1" applyFill="1" applyBorder="1" applyAlignment="1" applyProtection="1">
      <alignment vertical="center" wrapText="1"/>
    </xf>
    <xf numFmtId="0" fontId="31" fillId="0" borderId="0" xfId="0" applyFont="1" applyAlignment="1" applyProtection="1">
      <alignment wrapText="1"/>
    </xf>
    <xf numFmtId="0" fontId="29" fillId="28" borderId="49" xfId="0" applyFont="1" applyFill="1" applyBorder="1" applyAlignment="1" applyProtection="1">
      <alignment vertical="center" wrapText="1"/>
    </xf>
    <xf numFmtId="0" fontId="31" fillId="28" borderId="46" xfId="0" applyFont="1" applyFill="1" applyBorder="1" applyAlignment="1" applyProtection="1">
      <alignment vertical="center" wrapText="1"/>
    </xf>
    <xf numFmtId="0" fontId="31" fillId="28" borderId="57" xfId="0" applyFont="1" applyFill="1" applyBorder="1" applyAlignment="1" applyProtection="1">
      <alignment vertical="center" wrapText="1"/>
    </xf>
    <xf numFmtId="0" fontId="30" fillId="28" borderId="58" xfId="0" applyFont="1" applyFill="1" applyBorder="1" applyAlignment="1" applyProtection="1">
      <alignment vertical="center" wrapText="1"/>
    </xf>
    <xf numFmtId="0" fontId="0" fillId="0" borderId="50" xfId="0" applyBorder="1" applyAlignment="1" applyProtection="1">
      <alignment vertical="center" wrapText="1"/>
    </xf>
    <xf numFmtId="0" fontId="3" fillId="0" borderId="47" xfId="0" applyFont="1" applyBorder="1" applyAlignment="1" applyProtection="1">
      <alignment vertical="center" wrapText="1"/>
    </xf>
    <xf numFmtId="0" fontId="3" fillId="0" borderId="59" xfId="0" applyFont="1" applyBorder="1" applyAlignment="1" applyProtection="1">
      <alignment vertical="center" wrapText="1"/>
    </xf>
    <xf numFmtId="0" fontId="31" fillId="0" borderId="60" xfId="0" applyFont="1" applyBorder="1" applyAlignment="1" applyProtection="1">
      <alignment vertical="center" wrapText="1"/>
    </xf>
    <xf numFmtId="0" fontId="0" fillId="0" borderId="8" xfId="0" applyBorder="1" applyAlignment="1" applyProtection="1">
      <alignment vertical="center" wrapText="1"/>
    </xf>
    <xf numFmtId="0" fontId="0" fillId="0" borderId="31" xfId="0" applyBorder="1" applyAlignment="1" applyProtection="1">
      <alignment vertical="center" wrapText="1"/>
    </xf>
    <xf numFmtId="0" fontId="31" fillId="0" borderId="8" xfId="0" applyFont="1" applyBorder="1" applyAlignment="1" applyProtection="1">
      <alignment vertical="center" wrapText="1"/>
    </xf>
    <xf numFmtId="0" fontId="31" fillId="0" borderId="9" xfId="0" applyFont="1" applyBorder="1" applyAlignment="1" applyProtection="1">
      <alignment vertical="center" wrapText="1"/>
    </xf>
    <xf numFmtId="0" fontId="31" fillId="0" borderId="7" xfId="0" applyFont="1" applyBorder="1" applyAlignment="1" applyProtection="1">
      <alignment vertical="center" wrapText="1"/>
    </xf>
    <xf numFmtId="0" fontId="31" fillId="0" borderId="45" xfId="0" applyFont="1" applyBorder="1" applyAlignment="1" applyProtection="1">
      <alignment vertical="center" wrapText="1"/>
    </xf>
    <xf numFmtId="0" fontId="32" fillId="29" borderId="40" xfId="0" applyFont="1" applyFill="1" applyBorder="1" applyAlignment="1" applyProtection="1">
      <alignment vertical="center" wrapText="1"/>
    </xf>
    <xf numFmtId="0" fontId="31" fillId="29" borderId="45" xfId="0" applyFont="1" applyFill="1" applyBorder="1" applyAlignment="1" applyProtection="1">
      <alignment vertical="center" wrapText="1"/>
    </xf>
    <xf numFmtId="0" fontId="31" fillId="29" borderId="4" xfId="0" applyFont="1" applyFill="1" applyBorder="1" applyAlignment="1" applyProtection="1">
      <alignment vertical="center" wrapText="1"/>
    </xf>
    <xf numFmtId="0" fontId="30" fillId="29" borderId="2" xfId="0" applyFont="1" applyFill="1" applyBorder="1" applyAlignment="1" applyProtection="1">
      <alignment vertical="center" wrapText="1"/>
    </xf>
    <xf numFmtId="0" fontId="0" fillId="0" borderId="51" xfId="0" applyBorder="1" applyAlignment="1" applyProtection="1">
      <alignment vertical="center" wrapText="1"/>
    </xf>
    <xf numFmtId="0" fontId="31" fillId="0" borderId="62" xfId="0" applyFont="1" applyBorder="1" applyAlignment="1" applyProtection="1">
      <alignment vertical="center" wrapText="1"/>
    </xf>
    <xf numFmtId="0" fontId="31" fillId="0" borderId="0" xfId="0" applyFont="1" applyBorder="1" applyAlignment="1" applyProtection="1">
      <alignment vertical="center" wrapText="1"/>
    </xf>
    <xf numFmtId="0" fontId="31" fillId="0" borderId="51" xfId="0" applyFont="1" applyBorder="1" applyAlignment="1" applyProtection="1">
      <alignment vertical="center" wrapText="1"/>
    </xf>
    <xf numFmtId="0" fontId="31" fillId="0" borderId="48" xfId="0" applyFont="1" applyBorder="1" applyAlignment="1" applyProtection="1">
      <alignment vertical="center" wrapText="1"/>
    </xf>
    <xf numFmtId="0" fontId="31" fillId="0" borderId="61" xfId="0" applyFont="1" applyBorder="1" applyAlignment="1" applyProtection="1">
      <alignment vertical="center" wrapText="1"/>
    </xf>
    <xf numFmtId="0" fontId="31" fillId="0" borderId="0" xfId="0" applyFont="1" applyBorder="1" applyAlignment="1" applyProtection="1">
      <alignment wrapText="1"/>
    </xf>
    <xf numFmtId="0" fontId="28" fillId="0" borderId="50" xfId="0" applyFont="1" applyBorder="1" applyAlignment="1" applyProtection="1">
      <alignment vertical="center" wrapText="1"/>
    </xf>
    <xf numFmtId="0" fontId="31" fillId="0" borderId="60" xfId="0" applyFont="1" applyBorder="1" applyAlignment="1" applyProtection="1">
      <alignment wrapText="1"/>
    </xf>
    <xf numFmtId="0" fontId="31" fillId="0" borderId="5" xfId="0" applyFont="1" applyBorder="1" applyAlignment="1" applyProtection="1">
      <alignment vertical="center" wrapText="1"/>
    </xf>
    <xf numFmtId="0" fontId="29" fillId="28" borderId="29" xfId="0" applyFont="1" applyFill="1" applyBorder="1" applyAlignment="1" applyProtection="1">
      <alignment vertical="center" wrapText="1"/>
    </xf>
    <xf numFmtId="0" fontId="31" fillId="28" borderId="0" xfId="0" applyFont="1" applyFill="1" applyAlignment="1" applyProtection="1">
      <alignment vertical="center" wrapText="1"/>
    </xf>
    <xf numFmtId="0" fontId="31" fillId="28" borderId="6" xfId="0" applyFont="1" applyFill="1" applyBorder="1" applyAlignment="1" applyProtection="1">
      <alignment vertical="center" wrapText="1"/>
    </xf>
    <xf numFmtId="0" fontId="30" fillId="28" borderId="5" xfId="0" applyFont="1" applyFill="1" applyBorder="1" applyAlignment="1" applyProtection="1">
      <alignment vertical="center" wrapText="1"/>
    </xf>
    <xf numFmtId="0" fontId="28" fillId="0" borderId="59" xfId="0" applyFont="1" applyBorder="1" applyAlignment="1" applyProtection="1">
      <alignment vertical="center" wrapText="1"/>
    </xf>
    <xf numFmtId="0" fontId="31" fillId="0" borderId="50" xfId="0" applyFont="1" applyBorder="1" applyAlignment="1" applyProtection="1">
      <alignment vertical="center" wrapText="1"/>
    </xf>
    <xf numFmtId="0" fontId="3" fillId="0" borderId="47" xfId="0" applyFont="1" applyBorder="1" applyAlignment="1" applyProtection="1">
      <alignment wrapText="1"/>
    </xf>
    <xf numFmtId="0" fontId="28" fillId="0" borderId="59" xfId="0" applyFont="1" applyBorder="1" applyAlignment="1" applyProtection="1">
      <alignment wrapText="1"/>
    </xf>
    <xf numFmtId="0" fontId="3" fillId="0" borderId="59" xfId="0" applyFont="1" applyBorder="1" applyAlignment="1" applyProtection="1">
      <alignment wrapText="1"/>
    </xf>
    <xf numFmtId="0" fontId="0" fillId="0" borderId="0" xfId="0" applyBorder="1" applyAlignment="1" applyProtection="1">
      <alignment vertical="center" wrapText="1"/>
    </xf>
    <xf numFmtId="0" fontId="28" fillId="0" borderId="29" xfId="0" applyFont="1" applyBorder="1" applyAlignment="1" applyProtection="1">
      <alignment vertical="center" wrapText="1"/>
    </xf>
    <xf numFmtId="0" fontId="31" fillId="0" borderId="6" xfId="0" applyFont="1" applyBorder="1" applyAlignment="1" applyProtection="1">
      <alignment wrapText="1"/>
    </xf>
    <xf numFmtId="0" fontId="31" fillId="0" borderId="5" xfId="0" applyFont="1" applyBorder="1" applyAlignment="1" applyProtection="1">
      <alignment wrapText="1"/>
    </xf>
    <xf numFmtId="0" fontId="31" fillId="0" borderId="31" xfId="0" applyFont="1" applyBorder="1" applyAlignment="1" applyProtection="1">
      <alignment vertical="center" wrapText="1"/>
    </xf>
    <xf numFmtId="0" fontId="3" fillId="0" borderId="50" xfId="0" applyFont="1" applyBorder="1" applyAlignment="1" applyProtection="1">
      <alignment vertical="center" wrapText="1"/>
    </xf>
    <xf numFmtId="0" fontId="28" fillId="0" borderId="0" xfId="0" applyFont="1" applyAlignment="1" applyProtection="1">
      <alignment vertical="center" wrapText="1"/>
    </xf>
    <xf numFmtId="0" fontId="28" fillId="0" borderId="6" xfId="0" applyFont="1" applyBorder="1" applyAlignment="1" applyProtection="1">
      <alignment vertical="center" wrapText="1"/>
    </xf>
    <xf numFmtId="0" fontId="2" fillId="28" borderId="0" xfId="0" applyFont="1" applyFill="1" applyAlignment="1" applyProtection="1">
      <alignment vertical="center" wrapText="1"/>
    </xf>
    <xf numFmtId="0" fontId="2" fillId="28" borderId="6" xfId="0" applyFont="1" applyFill="1" applyBorder="1" applyAlignment="1" applyProtection="1">
      <alignment vertical="center" wrapText="1"/>
    </xf>
    <xf numFmtId="0" fontId="3" fillId="0" borderId="0" xfId="0" applyFont="1" applyAlignment="1" applyProtection="1">
      <alignment vertical="center" wrapText="1"/>
    </xf>
    <xf numFmtId="0" fontId="28" fillId="0" borderId="47" xfId="0" applyFont="1" applyBorder="1" applyAlignment="1" applyProtection="1">
      <alignment wrapText="1"/>
    </xf>
    <xf numFmtId="0" fontId="28" fillId="0" borderId="8" xfId="0" applyFont="1" applyBorder="1" applyAlignment="1" applyProtection="1">
      <alignment vertical="center" wrapText="1"/>
    </xf>
    <xf numFmtId="0" fontId="28" fillId="0" borderId="9" xfId="0" applyFont="1" applyBorder="1" applyAlignment="1" applyProtection="1">
      <alignment vertical="center" wrapText="1"/>
    </xf>
    <xf numFmtId="0" fontId="28" fillId="29" borderId="45" xfId="0" applyFont="1" applyFill="1" applyBorder="1" applyAlignment="1" applyProtection="1">
      <alignment vertical="center" wrapText="1"/>
    </xf>
    <xf numFmtId="0" fontId="28" fillId="29" borderId="4" xfId="0" applyFont="1" applyFill="1" applyBorder="1" applyAlignment="1" applyProtection="1">
      <alignment vertical="center" wrapText="1"/>
    </xf>
    <xf numFmtId="0" fontId="3" fillId="0" borderId="0" xfId="0" applyFont="1" applyBorder="1" applyAlignment="1" applyProtection="1">
      <alignment wrapText="1"/>
    </xf>
    <xf numFmtId="0" fontId="3" fillId="0" borderId="6" xfId="0" applyFont="1" applyBorder="1" applyAlignment="1" applyProtection="1">
      <alignment wrapText="1"/>
    </xf>
    <xf numFmtId="0" fontId="30" fillId="28" borderId="29" xfId="0" applyFont="1" applyFill="1" applyBorder="1" applyAlignment="1" applyProtection="1">
      <alignment vertical="center" wrapText="1"/>
    </xf>
    <xf numFmtId="0" fontId="3" fillId="28" borderId="0" xfId="0" applyFont="1" applyFill="1" applyAlignment="1" applyProtection="1">
      <alignment vertical="center" wrapText="1"/>
    </xf>
    <xf numFmtId="0" fontId="3" fillId="28" borderId="6" xfId="0" applyFont="1" applyFill="1" applyBorder="1" applyAlignment="1" applyProtection="1">
      <alignment vertical="center" wrapText="1"/>
    </xf>
    <xf numFmtId="0" fontId="4" fillId="0" borderId="50" xfId="0" applyFont="1" applyBorder="1" applyAlignment="1" applyProtection="1">
      <alignment vertical="center" wrapText="1"/>
    </xf>
    <xf numFmtId="0" fontId="28" fillId="0" borderId="0" xfId="0" applyFont="1" applyAlignment="1" applyProtection="1">
      <alignment wrapText="1"/>
    </xf>
    <xf numFmtId="0" fontId="28" fillId="0" borderId="6" xfId="0" applyFont="1" applyBorder="1" applyAlignment="1" applyProtection="1">
      <alignment wrapText="1"/>
    </xf>
    <xf numFmtId="0" fontId="2" fillId="28" borderId="0" xfId="0" applyFont="1" applyFill="1" applyAlignment="1" applyProtection="1">
      <alignment wrapText="1"/>
    </xf>
    <xf numFmtId="0" fontId="2" fillId="28" borderId="6" xfId="0" applyFont="1" applyFill="1" applyBorder="1" applyAlignment="1" applyProtection="1">
      <alignment wrapText="1"/>
    </xf>
    <xf numFmtId="0" fontId="50" fillId="32" borderId="43" xfId="0" applyFont="1" applyFill="1" applyBorder="1" applyAlignment="1">
      <alignment vertical="center" wrapText="1"/>
    </xf>
    <xf numFmtId="0" fontId="51" fillId="32" borderId="68" xfId="55" applyFont="1" applyFill="1" applyBorder="1" applyAlignment="1">
      <alignment vertical="center"/>
    </xf>
    <xf numFmtId="0" fontId="53" fillId="32" borderId="67" xfId="0" applyFont="1" applyFill="1" applyBorder="1" applyAlignment="1">
      <alignment horizontal="center" vertical="center" wrapText="1"/>
    </xf>
    <xf numFmtId="0" fontId="50" fillId="0" borderId="30" xfId="0" applyFont="1" applyBorder="1" applyAlignment="1">
      <alignment vertical="center" wrapText="1"/>
    </xf>
    <xf numFmtId="0" fontId="50" fillId="0" borderId="0" xfId="0" applyFont="1" applyAlignment="1">
      <alignment vertical="center" wrapText="1"/>
    </xf>
    <xf numFmtId="0" fontId="50" fillId="32" borderId="0" xfId="0" applyFont="1" applyFill="1" applyAlignment="1">
      <alignment vertical="center" wrapText="1"/>
    </xf>
    <xf numFmtId="0" fontId="51" fillId="32" borderId="67" xfId="0" applyFont="1" applyFill="1" applyBorder="1" applyAlignment="1">
      <alignment vertical="center" wrapText="1"/>
    </xf>
    <xf numFmtId="0" fontId="50" fillId="32" borderId="68" xfId="0" applyFont="1" applyFill="1" applyBorder="1" applyAlignment="1">
      <alignment vertical="center" wrapText="1"/>
    </xf>
    <xf numFmtId="0" fontId="51" fillId="32" borderId="55" xfId="0" applyFont="1" applyFill="1" applyBorder="1" applyAlignment="1">
      <alignment vertical="center" wrapText="1"/>
    </xf>
    <xf numFmtId="0" fontId="51" fillId="32" borderId="78" xfId="0" applyFont="1" applyFill="1" applyBorder="1" applyAlignment="1">
      <alignment vertical="center" wrapText="1"/>
    </xf>
    <xf numFmtId="0" fontId="51" fillId="32" borderId="79" xfId="0" applyFont="1" applyFill="1" applyBorder="1" applyAlignment="1">
      <alignment vertical="center" wrapText="1"/>
    </xf>
    <xf numFmtId="0" fontId="51" fillId="32" borderId="90" xfId="0" applyFont="1" applyFill="1" applyBorder="1" applyAlignment="1">
      <alignment vertical="center" wrapText="1"/>
    </xf>
    <xf numFmtId="0" fontId="53" fillId="32" borderId="79" xfId="0" applyFont="1" applyFill="1" applyBorder="1" applyAlignment="1">
      <alignment vertical="center" wrapText="1"/>
    </xf>
    <xf numFmtId="0" fontId="53" fillId="32" borderId="78" xfId="0" applyFont="1" applyFill="1" applyBorder="1" applyAlignment="1">
      <alignment vertical="center" wrapText="1"/>
    </xf>
    <xf numFmtId="0" fontId="53" fillId="32" borderId="90" xfId="0" applyFont="1" applyFill="1" applyBorder="1" applyAlignment="1">
      <alignment vertical="center" wrapText="1"/>
    </xf>
    <xf numFmtId="0" fontId="53" fillId="32" borderId="96" xfId="0" applyFont="1" applyFill="1" applyBorder="1" applyAlignment="1">
      <alignment vertical="center" wrapText="1"/>
    </xf>
    <xf numFmtId="0" fontId="51" fillId="0" borderId="0" xfId="0" applyFont="1" applyAlignment="1">
      <alignment vertical="center" wrapText="1"/>
    </xf>
    <xf numFmtId="0" fontId="43" fillId="0" borderId="0" xfId="55" applyFont="1" applyBorder="1" applyAlignment="1">
      <alignment horizontal="left" vertical="center"/>
    </xf>
    <xf numFmtId="0" fontId="0" fillId="0" borderId="12" xfId="55" applyFont="1" applyBorder="1" applyAlignment="1">
      <alignment horizontal="center" vertical="center" wrapText="1"/>
    </xf>
    <xf numFmtId="0" fontId="0" fillId="0" borderId="0" xfId="0" applyFont="1" applyBorder="1" applyAlignment="1">
      <alignment vertical="center" wrapText="1"/>
    </xf>
    <xf numFmtId="0" fontId="50" fillId="32" borderId="35" xfId="55" applyFont="1" applyFill="1" applyBorder="1" applyAlignment="1">
      <alignment vertical="center" wrapText="1"/>
    </xf>
    <xf numFmtId="0" fontId="51" fillId="32" borderId="36" xfId="55" applyFont="1" applyFill="1" applyBorder="1" applyAlignment="1">
      <alignment vertical="center" wrapText="1"/>
    </xf>
    <xf numFmtId="0" fontId="51" fillId="32" borderId="35" xfId="55" applyFont="1" applyFill="1" applyBorder="1" applyAlignment="1">
      <alignment vertical="center" wrapText="1"/>
    </xf>
    <xf numFmtId="0" fontId="50" fillId="32" borderId="35" xfId="0" applyFont="1" applyFill="1" applyBorder="1"/>
    <xf numFmtId="0" fontId="50" fillId="32" borderId="36" xfId="55" applyFont="1" applyFill="1" applyBorder="1" applyAlignment="1">
      <alignment vertical="center" wrapText="1"/>
    </xf>
    <xf numFmtId="0" fontId="50" fillId="32" borderId="0" xfId="0" applyFont="1" applyFill="1" applyAlignment="1">
      <alignment vertical="center"/>
    </xf>
    <xf numFmtId="0" fontId="51" fillId="32" borderId="67" xfId="55" applyFont="1" applyFill="1" applyBorder="1" applyAlignment="1">
      <alignment vertical="center"/>
    </xf>
    <xf numFmtId="0" fontId="50" fillId="32" borderId="33" xfId="0" applyFont="1" applyFill="1" applyBorder="1" applyAlignment="1">
      <alignment vertical="center"/>
    </xf>
    <xf numFmtId="0" fontId="50" fillId="32" borderId="68" xfId="0" applyFont="1" applyFill="1" applyBorder="1" applyAlignment="1">
      <alignment vertical="center"/>
    </xf>
    <xf numFmtId="0" fontId="52" fillId="32" borderId="68" xfId="0" applyFont="1" applyFill="1" applyBorder="1" applyAlignment="1">
      <alignment vertical="center"/>
    </xf>
    <xf numFmtId="0" fontId="50" fillId="0" borderId="0" xfId="0" applyFont="1" applyAlignment="1">
      <alignment vertical="center"/>
    </xf>
    <xf numFmtId="0" fontId="46" fillId="0" borderId="0" xfId="0" applyFont="1" applyBorder="1" applyAlignment="1">
      <alignment vertical="center" wrapText="1"/>
    </xf>
    <xf numFmtId="0" fontId="54" fillId="0" borderId="8" xfId="0" applyFont="1" applyBorder="1" applyAlignment="1">
      <alignment vertical="center" wrapText="1"/>
    </xf>
    <xf numFmtId="0" fontId="2" fillId="0" borderId="29" xfId="0" applyFont="1" applyBorder="1" applyAlignment="1">
      <alignment vertical="center" wrapText="1"/>
    </xf>
    <xf numFmtId="0" fontId="2" fillId="0" borderId="111" xfId="0" applyFont="1" applyBorder="1" applyAlignment="1">
      <alignment vertical="center" wrapText="1"/>
    </xf>
    <xf numFmtId="0" fontId="2" fillId="0" borderId="108" xfId="0" applyFont="1" applyBorder="1" applyAlignment="1">
      <alignment vertical="center" wrapText="1"/>
    </xf>
    <xf numFmtId="0" fontId="2" fillId="0" borderId="102" xfId="0" applyFont="1" applyBorder="1" applyAlignment="1">
      <alignment vertical="center" wrapText="1"/>
    </xf>
    <xf numFmtId="0" fontId="2" fillId="0" borderId="104" xfId="0" applyFont="1" applyBorder="1" applyAlignment="1">
      <alignment vertical="center" wrapText="1"/>
    </xf>
    <xf numFmtId="166" fontId="2" fillId="0" borderId="110" xfId="0" applyNumberFormat="1" applyFont="1" applyBorder="1" applyAlignment="1">
      <alignment vertical="center" wrapText="1"/>
    </xf>
    <xf numFmtId="176" fontId="2" fillId="30" borderId="108" xfId="59" applyNumberFormat="1" applyFont="1" applyFill="1" applyBorder="1" applyAlignment="1">
      <alignment vertical="center" wrapText="1"/>
    </xf>
    <xf numFmtId="176" fontId="2" fillId="30" borderId="106" xfId="59" applyNumberFormat="1" applyFont="1" applyFill="1" applyBorder="1" applyAlignment="1">
      <alignment vertical="center" wrapText="1"/>
    </xf>
    <xf numFmtId="176" fontId="2" fillId="31" borderId="108" xfId="59" applyNumberFormat="1" applyFont="1" applyFill="1" applyBorder="1" applyAlignment="1">
      <alignment vertical="center" wrapText="1"/>
    </xf>
    <xf numFmtId="176" fontId="2" fillId="31" borderId="106" xfId="59" applyNumberFormat="1" applyFont="1" applyFill="1" applyBorder="1" applyAlignment="1">
      <alignment vertical="center" wrapText="1"/>
    </xf>
    <xf numFmtId="166" fontId="3" fillId="4" borderId="108" xfId="0" applyNumberFormat="1" applyFont="1" applyFill="1" applyBorder="1" applyAlignment="1" applyProtection="1">
      <alignment vertical="center" wrapText="1"/>
      <protection locked="0"/>
    </xf>
    <xf numFmtId="166" fontId="3" fillId="4" borderId="1" xfId="0" applyNumberFormat="1" applyFont="1" applyFill="1" applyBorder="1" applyAlignment="1" applyProtection="1">
      <alignment vertical="center" wrapText="1"/>
      <protection locked="0"/>
    </xf>
    <xf numFmtId="166" fontId="2" fillId="4" borderId="108" xfId="0" applyNumberFormat="1" applyFont="1" applyFill="1" applyBorder="1" applyAlignment="1" applyProtection="1">
      <alignment vertical="center" wrapText="1"/>
      <protection locked="0"/>
    </xf>
    <xf numFmtId="166" fontId="2" fillId="4" borderId="109" xfId="0" applyNumberFormat="1" applyFont="1" applyFill="1" applyBorder="1" applyAlignment="1" applyProtection="1">
      <alignment vertical="center" wrapText="1"/>
      <protection locked="0"/>
    </xf>
    <xf numFmtId="0" fontId="53" fillId="32" borderId="42" xfId="55" applyFont="1" applyFill="1" applyBorder="1" applyAlignment="1">
      <alignment vertical="center"/>
    </xf>
    <xf numFmtId="0" fontId="0" fillId="0" borderId="27" xfId="55" applyFont="1" applyBorder="1" applyAlignment="1">
      <alignment horizontal="left" vertical="center" wrapText="1"/>
    </xf>
    <xf numFmtId="0" fontId="53" fillId="32" borderId="43" xfId="55" applyFont="1" applyFill="1" applyBorder="1" applyAlignment="1">
      <alignment vertical="center"/>
    </xf>
    <xf numFmtId="0" fontId="50" fillId="32" borderId="43" xfId="55" applyFont="1" applyFill="1" applyBorder="1" applyAlignment="1">
      <alignment horizontal="center" vertical="center" wrapText="1"/>
    </xf>
    <xf numFmtId="0" fontId="50" fillId="32" borderId="43" xfId="0" applyFont="1" applyFill="1" applyBorder="1"/>
    <xf numFmtId="0" fontId="50" fillId="0" borderId="0" xfId="0" applyFont="1"/>
    <xf numFmtId="0" fontId="50" fillId="0" borderId="0" xfId="55" applyFont="1" applyFill="1" applyAlignment="1">
      <alignment vertical="center" wrapText="1"/>
    </xf>
    <xf numFmtId="0" fontId="53" fillId="0" borderId="0" xfId="1" applyFont="1" applyFill="1" applyAlignment="1">
      <alignment vertical="center"/>
    </xf>
    <xf numFmtId="0" fontId="53" fillId="0" borderId="0" xfId="1" applyFont="1" applyFill="1" applyAlignment="1">
      <alignment horizontal="center" vertical="center"/>
    </xf>
    <xf numFmtId="0" fontId="52" fillId="0" borderId="0" xfId="1" applyFont="1" applyFill="1" applyAlignment="1">
      <alignment vertical="center"/>
    </xf>
    <xf numFmtId="0" fontId="38" fillId="4" borderId="120" xfId="55" applyFont="1" applyFill="1" applyBorder="1" applyAlignment="1" applyProtection="1">
      <alignment horizontal="left" vertical="center"/>
      <protection locked="0"/>
    </xf>
    <xf numFmtId="0" fontId="45" fillId="0" borderId="0" xfId="1" applyFont="1" applyFill="1" applyAlignment="1">
      <alignment vertical="center"/>
    </xf>
    <xf numFmtId="0" fontId="0" fillId="4" borderId="26" xfId="55" applyFont="1" applyFill="1" applyBorder="1" applyAlignment="1">
      <alignment horizontal="left" vertical="center" wrapText="1"/>
    </xf>
    <xf numFmtId="14" fontId="27" fillId="4" borderId="120" xfId="55" applyNumberFormat="1" applyFont="1" applyFill="1" applyBorder="1" applyAlignment="1">
      <alignment horizontal="left" vertical="center" wrapText="1"/>
    </xf>
    <xf numFmtId="0" fontId="1" fillId="31" borderId="106" xfId="0" applyFont="1" applyFill="1" applyBorder="1" applyAlignment="1">
      <alignment vertical="center" wrapText="1"/>
    </xf>
    <xf numFmtId="0" fontId="1" fillId="31" borderId="111" xfId="0" applyFont="1" applyFill="1" applyBorder="1" applyAlignment="1">
      <alignment vertical="center" wrapText="1"/>
    </xf>
    <xf numFmtId="0" fontId="0" fillId="4" borderId="120" xfId="55" applyFont="1" applyFill="1" applyBorder="1" applyAlignment="1">
      <alignment horizontal="left" vertical="center" wrapText="1"/>
    </xf>
    <xf numFmtId="3" fontId="27" fillId="0" borderId="12" xfId="55" applyNumberFormat="1" applyFont="1" applyFill="1" applyBorder="1" applyAlignment="1">
      <alignment horizontal="right" vertical="center" wrapText="1"/>
    </xf>
    <xf numFmtId="0" fontId="1" fillId="4" borderId="106" xfId="1" applyFont="1" applyFill="1" applyBorder="1" applyAlignment="1">
      <alignment horizontal="left" vertical="center" wrapText="1"/>
    </xf>
    <xf numFmtId="0" fontId="1" fillId="35" borderId="106" xfId="1" applyFont="1" applyFill="1" applyBorder="1" applyAlignment="1">
      <alignment horizontal="left" vertical="center" wrapText="1"/>
    </xf>
    <xf numFmtId="0" fontId="1" fillId="0" borderId="0" xfId="1" applyFont="1" applyFill="1" applyAlignment="1">
      <alignment vertical="center"/>
    </xf>
    <xf numFmtId="0" fontId="30" fillId="0" borderId="106" xfId="1" applyFont="1" applyFill="1" applyBorder="1" applyAlignment="1">
      <alignment horizontal="center" vertical="center"/>
    </xf>
    <xf numFmtId="0" fontId="47" fillId="4" borderId="106" xfId="1" applyFont="1" applyFill="1" applyBorder="1" applyAlignment="1">
      <alignment horizontal="left" vertical="center" wrapText="1"/>
    </xf>
    <xf numFmtId="0" fontId="1" fillId="0" borderId="0" xfId="1" applyFont="1" applyFill="1" applyAlignment="1">
      <alignment horizontal="right" vertical="center"/>
    </xf>
    <xf numFmtId="0" fontId="1" fillId="0" borderId="9" xfId="1" applyFont="1" applyFill="1" applyBorder="1" applyAlignment="1">
      <alignment vertical="center"/>
    </xf>
    <xf numFmtId="0" fontId="1" fillId="0" borderId="2" xfId="1" applyFont="1" applyFill="1" applyBorder="1" applyAlignment="1">
      <alignment horizontal="right" vertical="center"/>
    </xf>
    <xf numFmtId="0" fontId="6" fillId="0" borderId="8" xfId="2" applyFill="1" applyBorder="1" applyAlignment="1" applyProtection="1">
      <alignment horizontal="center" vertical="top"/>
    </xf>
    <xf numFmtId="0" fontId="1" fillId="0" borderId="106" xfId="1" applyFont="1" applyFill="1" applyBorder="1" applyAlignment="1">
      <alignment horizontal="left" vertical="center" wrapText="1"/>
    </xf>
    <xf numFmtId="0" fontId="55" fillId="34" borderId="106" xfId="1" applyFont="1" applyFill="1" applyBorder="1" applyAlignment="1">
      <alignment horizontal="left" vertical="center" wrapText="1"/>
    </xf>
    <xf numFmtId="0" fontId="56" fillId="0" borderId="0" xfId="1" applyFont="1" applyFill="1" applyAlignment="1">
      <alignment vertical="center"/>
    </xf>
    <xf numFmtId="0" fontId="1" fillId="0" borderId="10" xfId="1" applyFont="1" applyFill="1" applyBorder="1" applyAlignment="1">
      <alignment horizontal="left" vertical="center"/>
    </xf>
    <xf numFmtId="0" fontId="1" fillId="0" borderId="108" xfId="1" applyFont="1" applyFill="1" applyBorder="1" applyAlignment="1">
      <alignment horizontal="left" vertical="center"/>
    </xf>
    <xf numFmtId="0" fontId="0" fillId="4" borderId="28" xfId="56" applyNumberFormat="1" applyFont="1" applyFill="1" applyBorder="1" applyAlignment="1">
      <alignment vertical="center" wrapText="1"/>
    </xf>
    <xf numFmtId="0" fontId="30" fillId="0" borderId="2" xfId="1" applyFont="1" applyFill="1" applyBorder="1" applyAlignment="1">
      <alignment wrapText="1"/>
    </xf>
    <xf numFmtId="0" fontId="30" fillId="0" borderId="113" xfId="1" applyFont="1" applyFill="1" applyBorder="1" applyAlignment="1">
      <alignment wrapText="1"/>
    </xf>
    <xf numFmtId="0" fontId="30" fillId="0" borderId="4" xfId="1" applyFont="1" applyFill="1" applyBorder="1" applyAlignment="1">
      <alignment wrapText="1"/>
    </xf>
    <xf numFmtId="0" fontId="30" fillId="0" borderId="5" xfId="1" applyFont="1" applyFill="1" applyBorder="1" applyAlignment="1">
      <alignment wrapText="1"/>
    </xf>
    <xf numFmtId="0" fontId="30" fillId="0" borderId="0" xfId="1" applyFont="1" applyFill="1" applyBorder="1" applyAlignment="1">
      <alignment wrapText="1"/>
    </xf>
    <xf numFmtId="0" fontId="30" fillId="0" borderId="6" xfId="1" applyFont="1" applyFill="1" applyBorder="1" applyAlignment="1">
      <alignment wrapText="1"/>
    </xf>
    <xf numFmtId="0" fontId="1" fillId="0" borderId="113" xfId="1" applyFont="1" applyFill="1" applyBorder="1" applyAlignment="1">
      <alignment horizontal="left" vertical="center" wrapText="1"/>
    </xf>
    <xf numFmtId="0" fontId="1" fillId="0" borderId="4" xfId="1" applyFont="1" applyFill="1" applyBorder="1" applyAlignment="1">
      <alignment horizontal="left" vertical="center" wrapText="1"/>
    </xf>
    <xf numFmtId="0" fontId="33" fillId="0" borderId="10" xfId="1" applyFont="1" applyFill="1" applyBorder="1" applyAlignment="1">
      <alignment horizontal="center" vertical="center"/>
    </xf>
    <xf numFmtId="0" fontId="33" fillId="0" borderId="11" xfId="1" applyFont="1" applyFill="1" applyBorder="1" applyAlignment="1">
      <alignment horizontal="center" vertical="center"/>
    </xf>
    <xf numFmtId="0" fontId="33" fillId="0" borderId="108" xfId="1" applyFont="1" applyFill="1" applyBorder="1" applyAlignment="1">
      <alignment horizontal="center" vertical="center"/>
    </xf>
    <xf numFmtId="0" fontId="30" fillId="0" borderId="10" xfId="1" applyFont="1" applyFill="1" applyBorder="1" applyAlignment="1">
      <alignment horizontal="center" vertical="center"/>
    </xf>
    <xf numFmtId="0" fontId="30" fillId="0" borderId="108" xfId="1" applyFont="1" applyFill="1" applyBorder="1" applyAlignment="1">
      <alignment horizontal="center" vertical="center"/>
    </xf>
    <xf numFmtId="0" fontId="1" fillId="0" borderId="10" xfId="1" applyFont="1" applyFill="1" applyBorder="1" applyAlignment="1">
      <alignment horizontal="left" vertical="center"/>
    </xf>
    <xf numFmtId="0" fontId="1" fillId="0" borderId="108" xfId="1" applyFont="1" applyFill="1" applyBorder="1" applyAlignment="1">
      <alignment horizontal="left" vertical="center"/>
    </xf>
    <xf numFmtId="0" fontId="53" fillId="32" borderId="33" xfId="0" applyFont="1" applyFill="1" applyBorder="1" applyAlignment="1">
      <alignment horizontal="center" vertical="center" wrapText="1"/>
    </xf>
    <xf numFmtId="0" fontId="53" fillId="32" borderId="68" xfId="0" applyFont="1" applyFill="1" applyBorder="1" applyAlignment="1">
      <alignment horizontal="center" vertical="center" wrapText="1"/>
    </xf>
    <xf numFmtId="0" fontId="53" fillId="32" borderId="67" xfId="0" applyFont="1" applyFill="1" applyBorder="1" applyAlignment="1">
      <alignment horizontal="center" vertical="center" wrapText="1"/>
    </xf>
    <xf numFmtId="0" fontId="45" fillId="0" borderId="39" xfId="0" applyFont="1" applyBorder="1" applyAlignment="1">
      <alignment horizontal="left" vertical="center" wrapText="1"/>
    </xf>
    <xf numFmtId="0" fontId="51" fillId="32" borderId="33" xfId="0" applyFont="1" applyFill="1" applyBorder="1" applyAlignment="1">
      <alignment horizontal="center" vertical="center" wrapText="1"/>
    </xf>
    <xf numFmtId="0" fontId="51" fillId="32" borderId="68" xfId="0" applyFont="1" applyFill="1" applyBorder="1" applyAlignment="1">
      <alignment horizontal="center" vertical="center" wrapText="1"/>
    </xf>
    <xf numFmtId="0" fontId="51" fillId="32" borderId="67" xfId="0" applyFont="1" applyFill="1" applyBorder="1" applyAlignment="1">
      <alignment horizontal="center" vertical="center" wrapText="1"/>
    </xf>
    <xf numFmtId="0" fontId="3" fillId="4" borderId="12" xfId="55" applyFont="1" applyFill="1" applyBorder="1" applyAlignment="1">
      <alignment horizontal="left" vertical="center" wrapText="1"/>
    </xf>
    <xf numFmtId="0" fontId="3" fillId="4" borderId="1" xfId="55" applyFont="1" applyFill="1" applyBorder="1" applyAlignment="1">
      <alignment horizontal="left" vertical="center" wrapText="1"/>
    </xf>
    <xf numFmtId="0" fontId="3" fillId="4" borderId="127" xfId="55" applyFont="1" applyFill="1" applyBorder="1" applyAlignment="1">
      <alignment horizontal="left" vertical="center" wrapText="1"/>
    </xf>
    <xf numFmtId="0" fontId="3" fillId="4" borderId="108" xfId="55" applyFont="1" applyFill="1" applyBorder="1" applyAlignment="1">
      <alignment horizontal="left" vertical="center" wrapText="1"/>
    </xf>
    <xf numFmtId="0" fontId="3" fillId="0" borderId="12" xfId="55" applyFont="1" applyBorder="1" applyAlignment="1">
      <alignment horizontal="center" vertical="center" wrapText="1"/>
    </xf>
    <xf numFmtId="0" fontId="3" fillId="0" borderId="1" xfId="55" applyFont="1" applyBorder="1" applyAlignment="1">
      <alignment horizontal="center" vertical="center" wrapText="1"/>
    </xf>
    <xf numFmtId="0" fontId="27" fillId="0" borderId="11" xfId="55" applyFont="1" applyBorder="1" applyAlignment="1">
      <alignment horizontal="left" vertical="center" wrapText="1"/>
    </xf>
    <xf numFmtId="0" fontId="27" fillId="0" borderId="12" xfId="55" applyFont="1" applyBorder="1" applyAlignment="1">
      <alignment horizontal="left" vertical="center" wrapText="1"/>
    </xf>
    <xf numFmtId="0" fontId="27" fillId="0" borderId="125" xfId="55" applyFont="1" applyBorder="1" applyAlignment="1">
      <alignment horizontal="left" vertical="center" wrapText="1"/>
    </xf>
    <xf numFmtId="0" fontId="27" fillId="0" borderId="110" xfId="55" applyFont="1" applyBorder="1" applyAlignment="1">
      <alignment horizontal="left" vertical="center" wrapText="1"/>
    </xf>
    <xf numFmtId="0" fontId="27" fillId="4" borderId="11" xfId="55" applyFont="1" applyFill="1" applyBorder="1" applyAlignment="1">
      <alignment horizontal="left" vertical="center" wrapText="1"/>
    </xf>
    <xf numFmtId="0" fontId="27" fillId="4" borderId="12" xfId="55" applyFont="1" applyFill="1" applyBorder="1" applyAlignment="1">
      <alignment horizontal="left" vertical="center" wrapText="1"/>
    </xf>
    <xf numFmtId="0" fontId="3" fillId="4" borderId="126" xfId="55" applyFont="1" applyFill="1" applyBorder="1" applyAlignment="1">
      <alignment horizontal="left" vertical="center" wrapText="1"/>
    </xf>
    <xf numFmtId="0" fontId="3" fillId="4" borderId="109" xfId="55" applyFont="1" applyFill="1" applyBorder="1" applyAlignment="1">
      <alignment horizontal="left" vertical="center" wrapText="1"/>
    </xf>
    <xf numFmtId="0" fontId="3" fillId="4" borderId="107" xfId="55" applyFont="1" applyFill="1" applyBorder="1" applyAlignment="1">
      <alignment horizontal="left" vertical="center" wrapText="1"/>
    </xf>
    <xf numFmtId="170" fontId="27" fillId="4" borderId="13" xfId="55" applyNumberFormat="1" applyFont="1" applyFill="1" applyBorder="1" applyAlignment="1">
      <alignment horizontal="right" vertical="center" wrapText="1"/>
    </xf>
    <xf numFmtId="170" fontId="27" fillId="4" borderId="14" xfId="55" applyNumberFormat="1" applyFont="1" applyFill="1" applyBorder="1" applyAlignment="1">
      <alignment horizontal="right" vertical="center" wrapText="1"/>
    </xf>
    <xf numFmtId="170" fontId="27" fillId="4" borderId="15" xfId="55" applyNumberFormat="1" applyFont="1" applyFill="1" applyBorder="1" applyAlignment="1">
      <alignment horizontal="right" vertical="center" wrapText="1"/>
    </xf>
    <xf numFmtId="0" fontId="0" fillId="4" borderId="127" xfId="55" applyFont="1" applyFill="1" applyBorder="1" applyAlignment="1">
      <alignment horizontal="center" vertical="center" wrapText="1"/>
    </xf>
    <xf numFmtId="0" fontId="0" fillId="4" borderId="108" xfId="55" applyFont="1" applyFill="1" applyBorder="1" applyAlignment="1">
      <alignment horizontal="center" vertical="center" wrapText="1"/>
    </xf>
    <xf numFmtId="0" fontId="27" fillId="0" borderId="12" xfId="55" applyFont="1" applyBorder="1" applyAlignment="1">
      <alignment horizontal="center" vertical="center" wrapText="1"/>
    </xf>
    <xf numFmtId="0" fontId="27" fillId="0" borderId="1" xfId="55" applyFont="1" applyBorder="1" applyAlignment="1">
      <alignment horizontal="center" vertical="center" wrapText="1"/>
    </xf>
    <xf numFmtId="0" fontId="27" fillId="0" borderId="11" xfId="55" applyFont="1" applyBorder="1" applyAlignment="1">
      <alignment horizontal="center" vertical="center" wrapText="1"/>
    </xf>
    <xf numFmtId="0" fontId="27" fillId="0" borderId="128" xfId="55" applyFont="1" applyFill="1" applyBorder="1" applyAlignment="1">
      <alignment horizontal="right" vertical="center" wrapText="1"/>
    </xf>
    <xf numFmtId="0" fontId="27" fillId="0" borderId="129" xfId="55" applyFont="1" applyFill="1" applyBorder="1" applyAlignment="1">
      <alignment horizontal="right" vertical="center" wrapText="1"/>
    </xf>
    <xf numFmtId="0" fontId="27" fillId="0" borderId="106" xfId="55" applyFont="1" applyFill="1" applyBorder="1" applyAlignment="1">
      <alignment horizontal="left" vertical="center" wrapText="1"/>
    </xf>
    <xf numFmtId="0" fontId="1" fillId="0" borderId="102" xfId="0" applyFont="1" applyBorder="1" applyAlignment="1">
      <alignment vertical="center" wrapText="1"/>
    </xf>
    <xf numFmtId="0" fontId="1" fillId="0" borderId="0" xfId="0" applyFont="1" applyAlignment="1">
      <alignment vertical="center" wrapText="1"/>
    </xf>
    <xf numFmtId="0" fontId="3" fillId="0" borderId="29" xfId="0" applyFont="1" applyFill="1" applyBorder="1" applyAlignment="1">
      <alignment vertical="center" wrapText="1"/>
    </xf>
    <xf numFmtId="191" fontId="3" fillId="0" borderId="0" xfId="0" applyNumberFormat="1" applyFont="1" applyFill="1" applyBorder="1" applyAlignment="1">
      <alignment vertical="center" wrapText="1"/>
    </xf>
    <xf numFmtId="9" fontId="0" fillId="0" borderId="0" xfId="59" applyFont="1" applyAlignment="1">
      <alignment vertical="center" wrapText="1"/>
    </xf>
    <xf numFmtId="0" fontId="1" fillId="0" borderId="111" xfId="0" applyFont="1" applyBorder="1" applyAlignment="1">
      <alignment vertical="center" wrapText="1"/>
    </xf>
  </cellXfs>
  <cellStyles count="61">
    <cellStyle name="20 % - Accent1 2" xfId="3"/>
    <cellStyle name="20 % - Accent2 2" xfId="4"/>
    <cellStyle name="20 % - Accent3 2" xfId="5"/>
    <cellStyle name="20 % - Accent4 2" xfId="6"/>
    <cellStyle name="20 % - Accent5 2" xfId="7"/>
    <cellStyle name="20 % - Accent6 2" xfId="8"/>
    <cellStyle name="40 % - Accent1 2" xfId="9"/>
    <cellStyle name="40 % - Accent2 2" xfId="10"/>
    <cellStyle name="40 % - Accent3 2" xfId="11"/>
    <cellStyle name="40 % - Accent4 2" xfId="12"/>
    <cellStyle name="40 % - Accent5 2" xfId="13"/>
    <cellStyle name="40 % - Accent6 2" xfId="14"/>
    <cellStyle name="60 % - Accent1 2" xfId="15"/>
    <cellStyle name="60 % - Accent2 2" xfId="16"/>
    <cellStyle name="60 % - Accent3 2" xfId="17"/>
    <cellStyle name="60 % - Accent4 2" xfId="18"/>
    <cellStyle name="60 % - Accent5 2" xfId="19"/>
    <cellStyle name="60 % - Accent6 2" xfId="20"/>
    <cellStyle name="Accent1 2" xfId="21"/>
    <cellStyle name="Accent2 2" xfId="22"/>
    <cellStyle name="Accent3 2" xfId="23"/>
    <cellStyle name="Accent4 2" xfId="24"/>
    <cellStyle name="Accent5 2" xfId="25"/>
    <cellStyle name="Accent6 2" xfId="26"/>
    <cellStyle name="Avertissement 2" xfId="27"/>
    <cellStyle name="Calcul 2" xfId="28"/>
    <cellStyle name="Cellule liée 2" xfId="29"/>
    <cellStyle name="Commentaire 2" xfId="30"/>
    <cellStyle name="Entrée 2" xfId="31"/>
    <cellStyle name="Euro" xfId="32"/>
    <cellStyle name="Euro 2" xfId="58"/>
    <cellStyle name="Insatisfaisant 2" xfId="33"/>
    <cellStyle name="Lien hypertexte" xfId="2" builtinId="8"/>
    <cellStyle name="Lien hypertexte 2" xfId="60"/>
    <cellStyle name="Milliers 2" xfId="34"/>
    <cellStyle name="Milliers 3" xfId="57"/>
    <cellStyle name="Monétaire 2" xfId="35"/>
    <cellStyle name="Neutre 2" xfId="36"/>
    <cellStyle name="Normal" xfId="0" builtinId="0"/>
    <cellStyle name="Normal 2" xfId="1"/>
    <cellStyle name="Normal 2 2" xfId="37"/>
    <cellStyle name="Normal 3" xfId="38"/>
    <cellStyle name="Normal 4" xfId="39"/>
    <cellStyle name="Normal 5" xfId="40"/>
    <cellStyle name="Normal 6" xfId="41"/>
    <cellStyle name="Normal 7" xfId="55"/>
    <cellStyle name="Pourcentage" xfId="59" builtinId="5"/>
    <cellStyle name="Pourcentage 2" xfId="42"/>
    <cellStyle name="Pourcentage 3" xfId="43"/>
    <cellStyle name="Pourcentage 4" xfId="56"/>
    <cellStyle name="Satisfaisant 2" xfId="44"/>
    <cellStyle name="Sortie 2" xfId="45"/>
    <cellStyle name="Standard 2" xfId="46"/>
    <cellStyle name="Texte explicatif 2" xfId="47"/>
    <cellStyle name="Titre 2" xfId="48"/>
    <cellStyle name="Titre 1 2" xfId="49"/>
    <cellStyle name="Titre 2 2" xfId="50"/>
    <cellStyle name="Titre 3 2" xfId="51"/>
    <cellStyle name="Titre 4 2" xfId="52"/>
    <cellStyle name="Total 2" xfId="53"/>
    <cellStyle name="Vérification 2" xfId="54"/>
  </cellStyles>
  <dxfs count="24">
    <dxf>
      <font>
        <color rgb="FF9C0006"/>
      </font>
      <fill>
        <patternFill>
          <bgColor rgb="FFFFC7CE"/>
        </patternFill>
      </fill>
    </dxf>
    <dxf>
      <font>
        <color rgb="FF006100"/>
      </font>
      <fill>
        <patternFill>
          <bgColor rgb="FFC6EFCE"/>
        </patternFill>
      </fill>
    </dxf>
    <dxf>
      <font>
        <color rgb="FF9C0006"/>
      </font>
    </dxf>
    <dxf>
      <font>
        <color theme="6" tint="-0.24994659260841701"/>
      </font>
    </dxf>
    <dxf>
      <font>
        <color rgb="FF9C0006"/>
      </font>
    </dxf>
    <dxf>
      <font>
        <color theme="6"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dxf>
    <dxf>
      <font>
        <color theme="6" tint="-0.24994659260841701"/>
      </font>
    </dxf>
    <dxf>
      <font>
        <color rgb="FF9C0006"/>
      </font>
      <fill>
        <patternFill>
          <bgColor rgb="FFFFC7CE"/>
        </patternFill>
      </fill>
    </dxf>
    <dxf>
      <font>
        <color rgb="FF006100"/>
      </font>
      <fill>
        <patternFill>
          <bgColor rgb="FFC6EFCE"/>
        </patternFill>
      </fill>
    </dxf>
    <dxf>
      <font>
        <color rgb="FF9C0006"/>
      </font>
    </dxf>
    <dxf>
      <font>
        <color theme="6"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dxf>
    <dxf>
      <font>
        <color theme="6" tint="-0.24994659260841701"/>
      </font>
    </dxf>
  </dxfs>
  <tableStyles count="0" defaultTableStyle="TableStyleMedium2" defaultPivotStyle="PivotStyleLight16"/>
  <colors>
    <mruColors>
      <color rgb="FF6EC5D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2.xml"/><Relationship Id="rId5" Type="http://schemas.openxmlformats.org/officeDocument/2006/relationships/worksheet" Target="worksheets/sheet5.xml"/><Relationship Id="rId15" Type="http://schemas.openxmlformats.org/officeDocument/2006/relationships/worksheet" Target="worksheets/sheet12.xml"/><Relationship Id="rId10" Type="http://schemas.openxmlformats.org/officeDocument/2006/relationships/chartsheet" Target="chartsheets/sheet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RESULTATS!$D$36</c:f>
          <c:strCache>
            <c:ptCount val="1"/>
          </c:strCache>
        </c:strRef>
      </c:tx>
      <c:layout/>
      <c:overlay val="0"/>
    </c:title>
    <c:autoTitleDeleted val="0"/>
    <c:plotArea>
      <c:layout/>
      <c:radarChart>
        <c:radarStyle val="marker"/>
        <c:varyColors val="0"/>
        <c:dLbls>
          <c:showLegendKey val="0"/>
          <c:showVal val="0"/>
          <c:showCatName val="0"/>
          <c:showSerName val="0"/>
          <c:showPercent val="0"/>
          <c:showBubbleSize val="0"/>
        </c:dLbls>
        <c:axId val="198714496"/>
        <c:axId val="198716032"/>
      </c:radarChart>
      <c:catAx>
        <c:axId val="198714496"/>
        <c:scaling>
          <c:orientation val="minMax"/>
        </c:scaling>
        <c:delete val="0"/>
        <c:axPos val="b"/>
        <c:majorGridlines/>
        <c:majorTickMark val="out"/>
        <c:minorTickMark val="none"/>
        <c:tickLblPos val="nextTo"/>
        <c:crossAx val="198716032"/>
        <c:crosses val="autoZero"/>
        <c:auto val="1"/>
        <c:lblAlgn val="ctr"/>
        <c:lblOffset val="100"/>
        <c:noMultiLvlLbl val="0"/>
      </c:catAx>
      <c:valAx>
        <c:axId val="198716032"/>
        <c:scaling>
          <c:orientation val="minMax"/>
          <c:max val="5"/>
          <c:min val="0"/>
        </c:scaling>
        <c:delete val="0"/>
        <c:axPos val="l"/>
        <c:majorGridlines/>
        <c:numFmt formatCode="#,##0" sourceLinked="0"/>
        <c:majorTickMark val="cross"/>
        <c:minorTickMark val="none"/>
        <c:tickLblPos val="nextTo"/>
        <c:crossAx val="198714496"/>
        <c:crosses val="autoZero"/>
        <c:crossBetween val="between"/>
        <c:majorUnit val="1"/>
      </c:valAx>
    </c:plotArea>
    <c:plotVisOnly val="1"/>
    <c:dispBlanksAs val="gap"/>
    <c:showDLblsOverMax val="0"/>
  </c:chart>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8"/>
    </mc:Choice>
    <mc:Fallback>
      <c:style val="28"/>
    </mc:Fallback>
  </mc:AlternateContent>
  <c:chart>
    <c:title>
      <c:tx>
        <c:strRef>
          <c:f>RESULTATS!$D$17</c:f>
          <c:strCache>
            <c:ptCount val="1"/>
            <c:pt idx="0">
              <c:v>COUT GLOBAL décomposé Bailleur/Locataire - PROJET 1</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1.7371451363779407E-3"/>
          <c:y val="0.11432969455887096"/>
          <c:w val="0.92175118854838689"/>
          <c:h val="0.83798054387820176"/>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(RESULTATS!$B$27,RESULTATS!$B$32,RESULTATS!$B$34)</c:f>
              <c:strCache>
                <c:ptCount val="3"/>
                <c:pt idx="0">
                  <c:v>Coût global bailleur sur 40 ans</c:v>
                </c:pt>
                <c:pt idx="1">
                  <c:v>Coût global locataire sur 40 ans</c:v>
                </c:pt>
                <c:pt idx="2">
                  <c:v>Economie par rapport à l'existant</c:v>
                </c:pt>
              </c:strCache>
            </c:strRef>
          </c:cat>
          <c:val>
            <c:numRef>
              <c:f>(RESULTATS!$D$27,RESULTATS!$D$32,RESULTATS!$D$34)</c:f>
              <c:numCache>
                <c:formatCode>#,##0\ "€"</c:formatCode>
                <c:ptCount val="3"/>
                <c:pt idx="0">
                  <c:v>3248012.1465521245</c:v>
                </c:pt>
                <c:pt idx="1">
                  <c:v>444189.55361271143</c:v>
                </c:pt>
                <c:pt idx="2">
                  <c:v>1483924.4657440567</c:v>
                </c:pt>
              </c:numCache>
            </c:numRef>
          </c:val>
        </c:ser>
        <c:dLbls>
          <c:showLegendKey val="0"/>
          <c:showVal val="0"/>
          <c:showCatName val="1"/>
          <c:showSerName val="0"/>
          <c:showPercent val="1"/>
          <c:showBubbleSize val="0"/>
          <c:showLeaderLines val="1"/>
        </c:dLbls>
      </c:pie3DChart>
    </c:plotArea>
    <c:legend>
      <c:legendPos val="r"/>
      <c:layout>
        <c:manualLayout>
          <c:xMode val="edge"/>
          <c:yMode val="edge"/>
          <c:x val="0.71209177245102218"/>
          <c:y val="0.14512091509623115"/>
          <c:w val="0.26943989430047299"/>
          <c:h val="0.35083898405960551"/>
        </c:manualLayout>
      </c:layout>
      <c:overlay val="0"/>
    </c:legend>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RESULTATS!$D$36</c:f>
          <c:strCache>
            <c:ptCount val="1"/>
          </c:strCache>
        </c:strRef>
      </c:tx>
      <c:layout/>
      <c:overlay val="0"/>
    </c:title>
    <c:autoTitleDeleted val="0"/>
    <c:plotArea>
      <c:layout/>
      <c:radarChart>
        <c:radarStyle val="marker"/>
        <c:varyColors val="0"/>
        <c:dLbls>
          <c:showLegendKey val="0"/>
          <c:showVal val="0"/>
          <c:showCatName val="0"/>
          <c:showSerName val="0"/>
          <c:showPercent val="0"/>
          <c:showBubbleSize val="0"/>
        </c:dLbls>
        <c:axId val="199571712"/>
        <c:axId val="43393792"/>
      </c:radarChart>
      <c:catAx>
        <c:axId val="199571712"/>
        <c:scaling>
          <c:orientation val="minMax"/>
        </c:scaling>
        <c:delete val="0"/>
        <c:axPos val="b"/>
        <c:majorGridlines/>
        <c:majorTickMark val="out"/>
        <c:minorTickMark val="none"/>
        <c:tickLblPos val="nextTo"/>
        <c:crossAx val="43393792"/>
        <c:crosses val="autoZero"/>
        <c:auto val="1"/>
        <c:lblAlgn val="ctr"/>
        <c:lblOffset val="100"/>
        <c:noMultiLvlLbl val="0"/>
      </c:catAx>
      <c:valAx>
        <c:axId val="43393792"/>
        <c:scaling>
          <c:orientation val="minMax"/>
          <c:max val="5"/>
          <c:min val="0"/>
        </c:scaling>
        <c:delete val="0"/>
        <c:axPos val="l"/>
        <c:majorGridlines/>
        <c:numFmt formatCode="#,##0" sourceLinked="0"/>
        <c:majorTickMark val="cross"/>
        <c:minorTickMark val="none"/>
        <c:tickLblPos val="nextTo"/>
        <c:crossAx val="199571712"/>
        <c:crosses val="autoZero"/>
        <c:crossBetween val="between"/>
        <c:majorUnit val="1"/>
      </c:valAx>
    </c:plotArea>
    <c:plotVisOnly val="1"/>
    <c:dispBlanksAs val="gap"/>
    <c:showDLblsOverMax val="0"/>
  </c:chart>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RESULTATS!$B$36</c:f>
          <c:strCache>
            <c:ptCount val="1"/>
            <c:pt idx="0">
              <c:v>RESULTATS - METHODOLOGIE</c:v>
            </c:pt>
          </c:strCache>
        </c:strRef>
      </c:tx>
      <c:layout/>
      <c:overlay val="0"/>
      <c:txPr>
        <a:bodyPr/>
        <a:lstStyle/>
        <a:p>
          <a:pPr>
            <a:defRPr sz="1200"/>
          </a:pPr>
          <a:endParaRPr lang="fr-FR"/>
        </a:p>
      </c:txPr>
    </c:title>
    <c:autoTitleDeleted val="0"/>
    <c:plotArea>
      <c:layout/>
      <c:radarChart>
        <c:radarStyle val="marker"/>
        <c:varyColors val="0"/>
        <c:ser>
          <c:idx val="0"/>
          <c:order val="0"/>
          <c:tx>
            <c:strRef>
              <c:f>RESULTATS!$D$38</c:f>
              <c:strCache>
                <c:ptCount val="1"/>
                <c:pt idx="0">
                  <c:v>PROJET 1</c:v>
                </c:pt>
              </c:strCache>
            </c:strRef>
          </c:tx>
          <c:spPr>
            <a:ln>
              <a:solidFill>
                <a:schemeClr val="accent2"/>
              </a:solidFill>
            </a:ln>
          </c:spPr>
          <c:marker>
            <c:symbol val="square"/>
            <c:size val="5"/>
            <c:spPr>
              <a:solidFill>
                <a:schemeClr val="accent2"/>
              </a:solidFill>
              <a:ln>
                <a:solidFill>
                  <a:schemeClr val="accent2"/>
                </a:solidFill>
              </a:ln>
            </c:spPr>
          </c:marker>
          <c:cat>
            <c:strRef>
              <c:f>RESULTATS!$B$39:$B$44</c:f>
              <c:strCache>
                <c:ptCount val="6"/>
                <c:pt idx="0">
                  <c:v>Origine de la rénovation</c:v>
                </c:pt>
                <c:pt idx="1">
                  <c:v>Montage du projet</c:v>
                </c:pt>
                <c:pt idx="2">
                  <c:v>Conception</c:v>
                </c:pt>
                <c:pt idx="3">
                  <c:v>Réalisation</c:v>
                </c:pt>
                <c:pt idx="4">
                  <c:v>Commissionnement</c:v>
                </c:pt>
                <c:pt idx="5">
                  <c:v>Exploitation</c:v>
                </c:pt>
              </c:strCache>
            </c:strRef>
          </c:cat>
          <c:val>
            <c:numRef>
              <c:f>RESULTATS!$D$39:$D$44</c:f>
              <c:numCache>
                <c:formatCode>#0.0" / 5,0"</c:formatCode>
                <c:ptCount val="6"/>
                <c:pt idx="0">
                  <c:v>3.333333333333333</c:v>
                </c:pt>
                <c:pt idx="1">
                  <c:v>2.7777777777777777</c:v>
                </c:pt>
                <c:pt idx="2">
                  <c:v>5</c:v>
                </c:pt>
                <c:pt idx="3">
                  <c:v>2.6666666666666665</c:v>
                </c:pt>
                <c:pt idx="4">
                  <c:v>1</c:v>
                </c:pt>
                <c:pt idx="5">
                  <c:v>3.125</c:v>
                </c:pt>
              </c:numCache>
            </c:numRef>
          </c:val>
        </c:ser>
        <c:ser>
          <c:idx val="1"/>
          <c:order val="1"/>
          <c:tx>
            <c:strRef>
              <c:f>RESULTATS!$E$38</c:f>
              <c:strCache>
                <c:ptCount val="1"/>
                <c:pt idx="0">
                  <c:v>PROJET 2</c:v>
                </c:pt>
              </c:strCache>
            </c:strRef>
          </c:tx>
          <c:spPr>
            <a:ln>
              <a:solidFill>
                <a:schemeClr val="accent3"/>
              </a:solidFill>
            </a:ln>
          </c:spPr>
          <c:marker>
            <c:symbol val="square"/>
            <c:size val="5"/>
            <c:spPr>
              <a:solidFill>
                <a:schemeClr val="accent3"/>
              </a:solidFill>
              <a:ln>
                <a:solidFill>
                  <a:schemeClr val="accent3"/>
                </a:solidFill>
              </a:ln>
            </c:spPr>
          </c:marker>
          <c:cat>
            <c:strRef>
              <c:f>RESULTATS!$B$39:$B$44</c:f>
              <c:strCache>
                <c:ptCount val="6"/>
                <c:pt idx="0">
                  <c:v>Origine de la rénovation</c:v>
                </c:pt>
                <c:pt idx="1">
                  <c:v>Montage du projet</c:v>
                </c:pt>
                <c:pt idx="2">
                  <c:v>Conception</c:v>
                </c:pt>
                <c:pt idx="3">
                  <c:v>Réalisation</c:v>
                </c:pt>
                <c:pt idx="4">
                  <c:v>Commissionnement</c:v>
                </c:pt>
                <c:pt idx="5">
                  <c:v>Exploitation</c:v>
                </c:pt>
              </c:strCache>
            </c:strRef>
          </c:cat>
          <c:val>
            <c:numRef>
              <c:f>RESULTATS!$E$39:$E$44</c:f>
              <c:numCache>
                <c:formatCode>#0.0" / 5,0"</c:formatCode>
                <c:ptCount val="6"/>
                <c:pt idx="0">
                  <c:v>3.333333333333333</c:v>
                </c:pt>
                <c:pt idx="1">
                  <c:v>2.7777777777777777</c:v>
                </c:pt>
                <c:pt idx="2">
                  <c:v>5</c:v>
                </c:pt>
                <c:pt idx="3">
                  <c:v>2.6666666666666665</c:v>
                </c:pt>
                <c:pt idx="4">
                  <c:v>1</c:v>
                </c:pt>
                <c:pt idx="5">
                  <c:v>3.125</c:v>
                </c:pt>
              </c:numCache>
            </c:numRef>
          </c:val>
        </c:ser>
        <c:dLbls>
          <c:showLegendKey val="0"/>
          <c:showVal val="0"/>
          <c:showCatName val="0"/>
          <c:showSerName val="0"/>
          <c:showPercent val="0"/>
          <c:showBubbleSize val="0"/>
        </c:dLbls>
        <c:axId val="43524864"/>
        <c:axId val="43526784"/>
      </c:radarChart>
      <c:catAx>
        <c:axId val="43524864"/>
        <c:scaling>
          <c:orientation val="minMax"/>
        </c:scaling>
        <c:delete val="0"/>
        <c:axPos val="b"/>
        <c:majorGridlines/>
        <c:majorTickMark val="out"/>
        <c:minorTickMark val="none"/>
        <c:tickLblPos val="nextTo"/>
        <c:txPr>
          <a:bodyPr/>
          <a:lstStyle/>
          <a:p>
            <a:pPr>
              <a:defRPr sz="800"/>
            </a:pPr>
            <a:endParaRPr lang="fr-FR"/>
          </a:p>
        </c:txPr>
        <c:crossAx val="43526784"/>
        <c:crosses val="autoZero"/>
        <c:auto val="1"/>
        <c:lblAlgn val="ctr"/>
        <c:lblOffset val="100"/>
        <c:noMultiLvlLbl val="0"/>
      </c:catAx>
      <c:valAx>
        <c:axId val="43526784"/>
        <c:scaling>
          <c:orientation val="minMax"/>
          <c:max val="5"/>
          <c:min val="0"/>
        </c:scaling>
        <c:delete val="0"/>
        <c:axPos val="l"/>
        <c:majorGridlines/>
        <c:numFmt formatCode="#,##0" sourceLinked="0"/>
        <c:majorTickMark val="cross"/>
        <c:minorTickMark val="none"/>
        <c:tickLblPos val="nextTo"/>
        <c:crossAx val="43524864"/>
        <c:crosses val="autoZero"/>
        <c:crossBetween val="between"/>
        <c:majorUnit val="1"/>
      </c:valAx>
    </c:plotArea>
    <c:legend>
      <c:legendPos val="t"/>
      <c:layout>
        <c:manualLayout>
          <c:xMode val="edge"/>
          <c:yMode val="edge"/>
          <c:x val="0.3019152836336107"/>
          <c:y val="0.1236757896844697"/>
          <c:w val="0.34079796238487936"/>
          <c:h val="6.6251438819097855E-2"/>
        </c:manualLayout>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RESULTATS!$B$50</c:f>
          <c:strCache>
            <c:ptCount val="1"/>
            <c:pt idx="0">
              <c:v>RESULTATS - EXPLOITATION - 40 ans</c:v>
            </c:pt>
          </c:strCache>
        </c:strRef>
      </c:tx>
      <c:layout/>
      <c:overlay val="0"/>
      <c:txPr>
        <a:bodyPr/>
        <a:lstStyle/>
        <a:p>
          <a:pPr>
            <a:defRPr sz="1200"/>
          </a:pPr>
          <a:endParaRPr lang="fr-FR"/>
        </a:p>
      </c:txPr>
    </c:title>
    <c:autoTitleDeleted val="0"/>
    <c:view3D>
      <c:rotX val="15"/>
      <c:rotY val="20"/>
      <c:rAngAx val="1"/>
    </c:view3D>
    <c:floor>
      <c:thickness val="0"/>
    </c:floor>
    <c:sideWall>
      <c:thickness val="0"/>
    </c:sideWall>
    <c:backWall>
      <c:thickness val="0"/>
    </c:backWall>
    <c:plotArea>
      <c:layout>
        <c:manualLayout>
          <c:layoutTarget val="inner"/>
          <c:xMode val="edge"/>
          <c:yMode val="edge"/>
          <c:x val="9.3566039540539048E-2"/>
          <c:y val="0.14678378548763318"/>
          <c:w val="0.77988924640934842"/>
          <c:h val="0.70196144290279716"/>
        </c:manualLayout>
      </c:layout>
      <c:bar3DChart>
        <c:barDir val="col"/>
        <c:grouping val="clustered"/>
        <c:varyColors val="0"/>
        <c:ser>
          <c:idx val="0"/>
          <c:order val="0"/>
          <c:tx>
            <c:strRef>
              <c:f>RESULTATS!$C$52</c:f>
              <c:strCache>
                <c:ptCount val="1"/>
                <c:pt idx="0">
                  <c:v>EXISTANT</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RESULTATS!$C$53:$C$60</c:f>
              <c:numCache>
                <c:formatCode>#,##0\ "€"</c:formatCode>
                <c:ptCount val="8"/>
                <c:pt idx="0">
                  <c:v>0</c:v>
                </c:pt>
                <c:pt idx="1">
                  <c:v>207360</c:v>
                </c:pt>
                <c:pt idx="2">
                  <c:v>104831.99999999999</c:v>
                </c:pt>
                <c:pt idx="3">
                  <c:v>0</c:v>
                </c:pt>
                <c:pt idx="4">
                  <c:v>40000</c:v>
                </c:pt>
                <c:pt idx="5">
                  <c:v>208528</c:v>
                </c:pt>
                <c:pt idx="6">
                  <c:v>0</c:v>
                </c:pt>
                <c:pt idx="7">
                  <c:v>48000</c:v>
                </c:pt>
              </c:numCache>
            </c:numRef>
          </c:val>
        </c:ser>
        <c:ser>
          <c:idx val="1"/>
          <c:order val="1"/>
          <c:tx>
            <c:strRef>
              <c:f>RESULTATS!$D$52</c:f>
              <c:strCache>
                <c:ptCount val="1"/>
                <c:pt idx="0">
                  <c:v>PROJET 1</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RESULTATS!$D$53:$D$60</c:f>
              <c:numCache>
                <c:formatCode>#,##0\ "€"</c:formatCode>
                <c:ptCount val="8"/>
                <c:pt idx="0">
                  <c:v>0</c:v>
                </c:pt>
                <c:pt idx="1">
                  <c:v>0</c:v>
                </c:pt>
                <c:pt idx="2">
                  <c:v>0</c:v>
                </c:pt>
                <c:pt idx="3">
                  <c:v>0</c:v>
                </c:pt>
                <c:pt idx="4">
                  <c:v>8000</c:v>
                </c:pt>
                <c:pt idx="5">
                  <c:v>208528</c:v>
                </c:pt>
                <c:pt idx="6">
                  <c:v>0</c:v>
                </c:pt>
                <c:pt idx="7">
                  <c:v>48000</c:v>
                </c:pt>
              </c:numCache>
            </c:numRef>
          </c:val>
        </c:ser>
        <c:ser>
          <c:idx val="2"/>
          <c:order val="2"/>
          <c:tx>
            <c:strRef>
              <c:f>RESULTATS!$E$52</c:f>
              <c:strCache>
                <c:ptCount val="1"/>
                <c:pt idx="0">
                  <c:v>PROJET 2</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RESULTATS!$E$53:$E$60</c:f>
              <c:numCache>
                <c:formatCode>#,##0\ "€"</c:formatCode>
                <c:ptCount val="8"/>
                <c:pt idx="0">
                  <c:v>0</c:v>
                </c:pt>
                <c:pt idx="1">
                  <c:v>0</c:v>
                </c:pt>
                <c:pt idx="2">
                  <c:v>0</c:v>
                </c:pt>
                <c:pt idx="3">
                  <c:v>0</c:v>
                </c:pt>
                <c:pt idx="4">
                  <c:v>8000</c:v>
                </c:pt>
                <c:pt idx="5">
                  <c:v>199328</c:v>
                </c:pt>
                <c:pt idx="6">
                  <c:v>0</c:v>
                </c:pt>
                <c:pt idx="7">
                  <c:v>48000</c:v>
                </c:pt>
              </c:numCache>
            </c:numRef>
          </c:val>
        </c:ser>
        <c:dLbls>
          <c:showLegendKey val="0"/>
          <c:showVal val="0"/>
          <c:showCatName val="0"/>
          <c:showSerName val="0"/>
          <c:showPercent val="0"/>
          <c:showBubbleSize val="0"/>
        </c:dLbls>
        <c:gapWidth val="150"/>
        <c:shape val="box"/>
        <c:axId val="43713280"/>
        <c:axId val="43714816"/>
        <c:axId val="0"/>
      </c:bar3DChart>
      <c:catAx>
        <c:axId val="43713280"/>
        <c:scaling>
          <c:orientation val="minMax"/>
        </c:scaling>
        <c:delete val="0"/>
        <c:axPos val="b"/>
        <c:numFmt formatCode="General" sourceLinked="1"/>
        <c:majorTickMark val="out"/>
        <c:minorTickMark val="none"/>
        <c:tickLblPos val="nextTo"/>
        <c:txPr>
          <a:bodyPr/>
          <a:lstStyle/>
          <a:p>
            <a:pPr>
              <a:defRPr sz="800"/>
            </a:pPr>
            <a:endParaRPr lang="fr-FR"/>
          </a:p>
        </c:txPr>
        <c:crossAx val="43714816"/>
        <c:crosses val="autoZero"/>
        <c:auto val="1"/>
        <c:lblAlgn val="ctr"/>
        <c:lblOffset val="100"/>
        <c:noMultiLvlLbl val="0"/>
      </c:catAx>
      <c:valAx>
        <c:axId val="43714816"/>
        <c:scaling>
          <c:orientation val="minMax"/>
        </c:scaling>
        <c:delete val="0"/>
        <c:axPos val="l"/>
        <c:majorGridlines/>
        <c:numFmt formatCode="#,##0,&quot; k€&quot;" sourceLinked="0"/>
        <c:majorTickMark val="out"/>
        <c:minorTickMark val="none"/>
        <c:tickLblPos val="nextTo"/>
        <c:txPr>
          <a:bodyPr/>
          <a:lstStyle/>
          <a:p>
            <a:pPr>
              <a:defRPr sz="800"/>
            </a:pPr>
            <a:endParaRPr lang="fr-FR"/>
          </a:p>
        </c:txPr>
        <c:crossAx val="43713280"/>
        <c:crosses val="autoZero"/>
        <c:crossBetween val="between"/>
      </c:valAx>
    </c:plotArea>
    <c:legend>
      <c:legendPos val="r"/>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RESULTATS!$B$2</c:f>
          <c:strCache>
            <c:ptCount val="1"/>
            <c:pt idx="0">
              <c:v>RESULTATS - COÛT GLOBAL - 40 ans</c:v>
            </c:pt>
          </c:strCache>
        </c:strRef>
      </c:tx>
      <c:layout/>
      <c:overlay val="0"/>
      <c:txPr>
        <a:bodyPr/>
        <a:lstStyle/>
        <a:p>
          <a:pPr>
            <a:defRPr sz="1200"/>
          </a:pPr>
          <a:endParaRPr lang="fr-FR"/>
        </a:p>
      </c:txPr>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RESULTATS!$B$5</c:f>
              <c:strCache>
                <c:ptCount val="1"/>
                <c:pt idx="0">
                  <c:v>Attractivité</c:v>
                </c:pt>
              </c:strCache>
            </c:strRef>
          </c:tx>
          <c:invertIfNegative val="0"/>
          <c:cat>
            <c:strRef>
              <c:f>RESULTATS!$C$4:$E$4</c:f>
              <c:strCache>
                <c:ptCount val="3"/>
                <c:pt idx="0">
                  <c:v>EXISTANT</c:v>
                </c:pt>
                <c:pt idx="1">
                  <c:v>PROJET 1</c:v>
                </c:pt>
                <c:pt idx="2">
                  <c:v>PROJET 2</c:v>
                </c:pt>
              </c:strCache>
            </c:strRef>
          </c:cat>
          <c:val>
            <c:numRef>
              <c:f>RESULTATS!$C$5:$E$5</c:f>
              <c:numCache>
                <c:formatCode>#,##0\ "€"</c:formatCode>
                <c:ptCount val="3"/>
                <c:pt idx="0">
                  <c:v>369224</c:v>
                </c:pt>
                <c:pt idx="1">
                  <c:v>313840.40000000002</c:v>
                </c:pt>
                <c:pt idx="2">
                  <c:v>313840.40000000002</c:v>
                </c:pt>
              </c:numCache>
            </c:numRef>
          </c:val>
        </c:ser>
        <c:ser>
          <c:idx val="1"/>
          <c:order val="1"/>
          <c:tx>
            <c:strRef>
              <c:f>RESULTATS!$B$6</c:f>
              <c:strCache>
                <c:ptCount val="1"/>
                <c:pt idx="0">
                  <c:v>Renouvellement (bâti et équipements)</c:v>
                </c:pt>
              </c:strCache>
            </c:strRef>
          </c:tx>
          <c:invertIfNegative val="0"/>
          <c:cat>
            <c:strRef>
              <c:f>RESULTATS!$C$4:$E$4</c:f>
              <c:strCache>
                <c:ptCount val="3"/>
                <c:pt idx="0">
                  <c:v>EXISTANT</c:v>
                </c:pt>
                <c:pt idx="1">
                  <c:v>PROJET 1</c:v>
                </c:pt>
                <c:pt idx="2">
                  <c:v>PROJET 2</c:v>
                </c:pt>
              </c:strCache>
            </c:strRef>
          </c:cat>
          <c:val>
            <c:numRef>
              <c:f>RESULTATS!$C$6:$E$6</c:f>
              <c:numCache>
                <c:formatCode>#,##0\ "€"</c:formatCode>
                <c:ptCount val="3"/>
                <c:pt idx="0">
                  <c:v>834121.90476190473</c:v>
                </c:pt>
                <c:pt idx="1">
                  <c:v>813649.90476190473</c:v>
                </c:pt>
                <c:pt idx="2">
                  <c:v>560950.4761904761</c:v>
                </c:pt>
              </c:numCache>
            </c:numRef>
          </c:val>
        </c:ser>
        <c:ser>
          <c:idx val="2"/>
          <c:order val="2"/>
          <c:tx>
            <c:strRef>
              <c:f>RESULTATS!$B$7</c:f>
              <c:strCache>
                <c:ptCount val="1"/>
                <c:pt idx="0">
                  <c:v>Entretien bâti</c:v>
                </c:pt>
              </c:strCache>
            </c:strRef>
          </c:tx>
          <c:invertIfNegative val="0"/>
          <c:cat>
            <c:strRef>
              <c:f>RESULTATS!$C$4:$E$4</c:f>
              <c:strCache>
                <c:ptCount val="3"/>
                <c:pt idx="0">
                  <c:v>EXISTANT</c:v>
                </c:pt>
                <c:pt idx="1">
                  <c:v>PROJET 1</c:v>
                </c:pt>
                <c:pt idx="2">
                  <c:v>PROJET 2</c:v>
                </c:pt>
              </c:strCache>
            </c:strRef>
          </c:cat>
          <c:val>
            <c:numRef>
              <c:f>RESULTATS!$C$7:$E$7</c:f>
              <c:numCache>
                <c:formatCode>#,##0\ "€"</c:formatCode>
                <c:ptCount val="3"/>
                <c:pt idx="0">
                  <c:v>352192</c:v>
                </c:pt>
                <c:pt idx="1">
                  <c:v>8000</c:v>
                </c:pt>
                <c:pt idx="2">
                  <c:v>8000</c:v>
                </c:pt>
              </c:numCache>
            </c:numRef>
          </c:val>
        </c:ser>
        <c:ser>
          <c:idx val="3"/>
          <c:order val="3"/>
          <c:tx>
            <c:strRef>
              <c:f>RESULTATS!$B$8</c:f>
              <c:strCache>
                <c:ptCount val="1"/>
                <c:pt idx="0">
                  <c:v>Entretien maintenance équipements</c:v>
                </c:pt>
              </c:strCache>
            </c:strRef>
          </c:tx>
          <c:invertIfNegative val="0"/>
          <c:cat>
            <c:strRef>
              <c:f>RESULTATS!$C$4:$E$4</c:f>
              <c:strCache>
                <c:ptCount val="3"/>
                <c:pt idx="0">
                  <c:v>EXISTANT</c:v>
                </c:pt>
                <c:pt idx="1">
                  <c:v>PROJET 1</c:v>
                </c:pt>
                <c:pt idx="2">
                  <c:v>PROJET 2</c:v>
                </c:pt>
              </c:strCache>
            </c:strRef>
          </c:cat>
          <c:val>
            <c:numRef>
              <c:f>RESULTATS!$C$8:$E$8</c:f>
              <c:numCache>
                <c:formatCode>#,##0\ "€"</c:formatCode>
                <c:ptCount val="3"/>
                <c:pt idx="0">
                  <c:v>256528</c:v>
                </c:pt>
                <c:pt idx="1">
                  <c:v>256528</c:v>
                </c:pt>
                <c:pt idx="2">
                  <c:v>247328</c:v>
                </c:pt>
              </c:numCache>
            </c:numRef>
          </c:val>
        </c:ser>
        <c:ser>
          <c:idx val="4"/>
          <c:order val="4"/>
          <c:tx>
            <c:strRef>
              <c:f>RESULTATS!$B$9</c:f>
              <c:strCache>
                <c:ptCount val="1"/>
                <c:pt idx="0">
                  <c:v>Energie (combustible)</c:v>
                </c:pt>
              </c:strCache>
            </c:strRef>
          </c:tx>
          <c:invertIfNegative val="0"/>
          <c:cat>
            <c:strRef>
              <c:f>RESULTATS!$C$4:$E$4</c:f>
              <c:strCache>
                <c:ptCount val="3"/>
                <c:pt idx="0">
                  <c:v>EXISTANT</c:v>
                </c:pt>
                <c:pt idx="1">
                  <c:v>PROJET 1</c:v>
                </c:pt>
                <c:pt idx="2">
                  <c:v>PROJET 2</c:v>
                </c:pt>
              </c:strCache>
            </c:strRef>
          </c:cat>
          <c:val>
            <c:numRef>
              <c:f>RESULTATS!$C$9:$E$9</c:f>
              <c:numCache>
                <c:formatCode>#,##0\ "€"</c:formatCode>
                <c:ptCount val="3"/>
                <c:pt idx="0">
                  <c:v>3122102.2611469883</c:v>
                </c:pt>
                <c:pt idx="1">
                  <c:v>1099585.547031194</c:v>
                </c:pt>
                <c:pt idx="2">
                  <c:v>750353.36103760288</c:v>
                </c:pt>
              </c:numCache>
            </c:numRef>
          </c:val>
        </c:ser>
        <c:ser>
          <c:idx val="5"/>
          <c:order val="5"/>
          <c:tx>
            <c:strRef>
              <c:f>RESULTATS!$B$10</c:f>
              <c:strCache>
                <c:ptCount val="1"/>
                <c:pt idx="0">
                  <c:v>Energie (abonnement)</c:v>
                </c:pt>
              </c:strCache>
            </c:strRef>
          </c:tx>
          <c:invertIfNegative val="0"/>
          <c:cat>
            <c:strRef>
              <c:f>RESULTATS!$C$4:$E$4</c:f>
              <c:strCache>
                <c:ptCount val="3"/>
                <c:pt idx="0">
                  <c:v>EXISTANT</c:v>
                </c:pt>
                <c:pt idx="1">
                  <c:v>PROJET 1</c:v>
                </c:pt>
                <c:pt idx="2">
                  <c:v>PROJET 2</c:v>
                </c:pt>
              </c:strCache>
            </c:strRef>
          </c:cat>
          <c:val>
            <c:numRef>
              <c:f>RESULTATS!$C$10:$E$10</c:f>
              <c:numCache>
                <c:formatCode>#,##0\ "€"</c:formatCode>
                <c:ptCount val="3"/>
                <c:pt idx="0">
                  <c:v>241958</c:v>
                </c:pt>
                <c:pt idx="1">
                  <c:v>241958</c:v>
                </c:pt>
                <c:pt idx="2">
                  <c:v>241958</c:v>
                </c:pt>
              </c:numCache>
            </c:numRef>
          </c:val>
        </c:ser>
        <c:ser>
          <c:idx val="6"/>
          <c:order val="6"/>
          <c:tx>
            <c:strRef>
              <c:f>RESULTATS!$B$11</c:f>
              <c:strCache>
                <c:ptCount val="1"/>
                <c:pt idx="0">
                  <c:v>Investissement</c:v>
                </c:pt>
              </c:strCache>
            </c:strRef>
          </c:tx>
          <c:invertIfNegative val="0"/>
          <c:cat>
            <c:strRef>
              <c:f>RESULTATS!$C$4:$E$4</c:f>
              <c:strCache>
                <c:ptCount val="3"/>
                <c:pt idx="0">
                  <c:v>EXISTANT</c:v>
                </c:pt>
                <c:pt idx="1">
                  <c:v>PROJET 1</c:v>
                </c:pt>
                <c:pt idx="2">
                  <c:v>PROJET 2</c:v>
                </c:pt>
              </c:strCache>
            </c:strRef>
          </c:cat>
          <c:val>
            <c:numRef>
              <c:f>RESULTATS!$C$11:$E$11</c:f>
              <c:numCache>
                <c:formatCode>#,##0\ "€"</c:formatCode>
                <c:ptCount val="3"/>
                <c:pt idx="0">
                  <c:v>0</c:v>
                </c:pt>
                <c:pt idx="1">
                  <c:v>843924.41860465112</c:v>
                </c:pt>
                <c:pt idx="2">
                  <c:v>1042644.4186046511</c:v>
                </c:pt>
              </c:numCache>
            </c:numRef>
          </c:val>
        </c:ser>
        <c:ser>
          <c:idx val="7"/>
          <c:order val="7"/>
          <c:tx>
            <c:strRef>
              <c:f>RESULTATS!$B$12</c:f>
              <c:strCache>
                <c:ptCount val="1"/>
                <c:pt idx="0">
                  <c:v>Coût emprunt</c:v>
                </c:pt>
              </c:strCache>
            </c:strRef>
          </c:tx>
          <c:invertIfNegative val="0"/>
          <c:cat>
            <c:strRef>
              <c:f>RESULTATS!$C$4:$E$4</c:f>
              <c:strCache>
                <c:ptCount val="3"/>
                <c:pt idx="0">
                  <c:v>EXISTANT</c:v>
                </c:pt>
                <c:pt idx="1">
                  <c:v>PROJET 1</c:v>
                </c:pt>
                <c:pt idx="2">
                  <c:v>PROJET 2</c:v>
                </c:pt>
              </c:strCache>
            </c:strRef>
          </c:cat>
          <c:val>
            <c:numRef>
              <c:f>RESULTATS!$C$12:$E$12</c:f>
              <c:numCache>
                <c:formatCode>#,##0\ "€"</c:formatCode>
                <c:ptCount val="3"/>
                <c:pt idx="0">
                  <c:v>0</c:v>
                </c:pt>
                <c:pt idx="1">
                  <c:v>114715.42976708601</c:v>
                </c:pt>
                <c:pt idx="2">
                  <c:v>114715.42976708601</c:v>
                </c:pt>
              </c:numCache>
            </c:numRef>
          </c:val>
        </c:ser>
        <c:dLbls>
          <c:showLegendKey val="0"/>
          <c:showVal val="0"/>
          <c:showCatName val="0"/>
          <c:showSerName val="0"/>
          <c:showPercent val="0"/>
          <c:showBubbleSize val="0"/>
        </c:dLbls>
        <c:gapWidth val="150"/>
        <c:shape val="cylinder"/>
        <c:axId val="43647360"/>
        <c:axId val="43648896"/>
        <c:axId val="0"/>
      </c:bar3DChart>
      <c:catAx>
        <c:axId val="43647360"/>
        <c:scaling>
          <c:orientation val="minMax"/>
        </c:scaling>
        <c:delete val="0"/>
        <c:axPos val="b"/>
        <c:majorTickMark val="out"/>
        <c:minorTickMark val="none"/>
        <c:tickLblPos val="nextTo"/>
        <c:crossAx val="43648896"/>
        <c:crosses val="autoZero"/>
        <c:auto val="1"/>
        <c:lblAlgn val="ctr"/>
        <c:lblOffset val="100"/>
        <c:noMultiLvlLbl val="0"/>
      </c:catAx>
      <c:valAx>
        <c:axId val="43648896"/>
        <c:scaling>
          <c:orientation val="minMax"/>
        </c:scaling>
        <c:delete val="0"/>
        <c:axPos val="l"/>
        <c:majorGridlines/>
        <c:numFmt formatCode="#,##0,&quot; k€&quot;" sourceLinked="0"/>
        <c:majorTickMark val="out"/>
        <c:minorTickMark val="none"/>
        <c:tickLblPos val="nextTo"/>
        <c:crossAx val="43647360"/>
        <c:crosses val="autoZero"/>
        <c:crossBetween val="between"/>
      </c:valAx>
    </c:plotArea>
    <c:legend>
      <c:legendPos val="r"/>
      <c:layout>
        <c:manualLayout>
          <c:xMode val="edge"/>
          <c:yMode val="edge"/>
          <c:x val="0.65018599682335032"/>
          <c:y val="0.14368856168169211"/>
          <c:w val="0.30455256546648757"/>
          <c:h val="0.76962734963523127"/>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RESULTATS!$D$36</c:f>
          <c:strCache>
            <c:ptCount val="1"/>
          </c:strCache>
        </c:strRef>
      </c:tx>
      <c:layout/>
      <c:overlay val="0"/>
    </c:title>
    <c:autoTitleDeleted val="0"/>
    <c:plotArea>
      <c:layout/>
      <c:radarChart>
        <c:radarStyle val="marker"/>
        <c:varyColors val="0"/>
        <c:dLbls>
          <c:showLegendKey val="0"/>
          <c:showVal val="0"/>
          <c:showCatName val="0"/>
          <c:showSerName val="0"/>
          <c:showPercent val="0"/>
          <c:showBubbleSize val="0"/>
        </c:dLbls>
        <c:axId val="206747136"/>
        <c:axId val="206748672"/>
      </c:radarChart>
      <c:catAx>
        <c:axId val="206747136"/>
        <c:scaling>
          <c:orientation val="minMax"/>
        </c:scaling>
        <c:delete val="0"/>
        <c:axPos val="b"/>
        <c:majorGridlines/>
        <c:majorTickMark val="out"/>
        <c:minorTickMark val="none"/>
        <c:tickLblPos val="nextTo"/>
        <c:crossAx val="206748672"/>
        <c:crosses val="autoZero"/>
        <c:auto val="1"/>
        <c:lblAlgn val="ctr"/>
        <c:lblOffset val="100"/>
        <c:noMultiLvlLbl val="0"/>
      </c:catAx>
      <c:valAx>
        <c:axId val="206748672"/>
        <c:scaling>
          <c:orientation val="minMax"/>
          <c:max val="5"/>
          <c:min val="0"/>
        </c:scaling>
        <c:delete val="0"/>
        <c:axPos val="l"/>
        <c:majorGridlines/>
        <c:numFmt formatCode="#,##0" sourceLinked="0"/>
        <c:majorTickMark val="cross"/>
        <c:minorTickMark val="none"/>
        <c:tickLblPos val="nextTo"/>
        <c:crossAx val="206747136"/>
        <c:crosses val="autoZero"/>
        <c:crossBetween val="between"/>
        <c:majorUnit val="1"/>
      </c:valAx>
    </c:plotArea>
    <c:plotVisOnly val="1"/>
    <c:dispBlanksAs val="gap"/>
    <c:showDLblsOverMax val="0"/>
  </c:chart>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RESULTATS!$C$63</c:f>
          <c:strCache>
            <c:ptCount val="1"/>
            <c:pt idx="0">
              <c:v>Charges mensuelles d'un foyer type - EXISTANT</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27180284176318331"/>
          <c:y val="0.22990592116595518"/>
          <c:w val="0.72819715823681674"/>
          <c:h val="0.65093410816683706"/>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RESULTATS!$C$68:$C$73</c:f>
              <c:numCache>
                <c:formatCode>#,###\ "€"</c:formatCode>
                <c:ptCount val="6"/>
                <c:pt idx="0">
                  <c:v>262.8</c:v>
                </c:pt>
                <c:pt idx="1">
                  <c:v>141.91373914304492</c:v>
                </c:pt>
                <c:pt idx="2">
                  <c:v>10.958242753623189</c:v>
                </c:pt>
                <c:pt idx="3">
                  <c:v>100</c:v>
                </c:pt>
                <c:pt idx="4">
                  <c:v>300</c:v>
                </c:pt>
                <c:pt idx="5">
                  <c:v>584.32801810333194</c:v>
                </c:pt>
              </c:numCache>
            </c:numRef>
          </c:val>
        </c:ser>
        <c:dLbls>
          <c:showLegendKey val="0"/>
          <c:showVal val="0"/>
          <c:showCatName val="1"/>
          <c:showSerName val="0"/>
          <c:showPercent val="1"/>
          <c:showBubbleSize val="0"/>
          <c:showLeaderLines val="1"/>
        </c:dLbls>
      </c:pie3DChart>
      <c:spPr>
        <a:effectLst/>
      </c:spPr>
    </c:plotArea>
    <c:legend>
      <c:legendPos val="l"/>
      <c:layout>
        <c:manualLayout>
          <c:xMode val="edge"/>
          <c:yMode val="edge"/>
          <c:x val="4.7611118808895334E-3"/>
          <c:y val="0.153159222354493"/>
          <c:w val="0.32687990563939673"/>
          <c:h val="0.82040994609549678"/>
        </c:manualLayout>
      </c:layout>
      <c:overlay val="0"/>
    </c:legend>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RESULTATS!$D$63</c:f>
          <c:strCache>
            <c:ptCount val="1"/>
            <c:pt idx="0">
              <c:v>Charges mensuelles d'un foyer type - PROJET 1</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28123039277199147"/>
          <c:y val="0.29467992199122889"/>
          <c:w val="0.71876960722800853"/>
          <c:h val="0.63204085029155377"/>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RESULTATS!$D$68:$D$73</c:f>
              <c:numCache>
                <c:formatCode>#,###\ "€"</c:formatCode>
                <c:ptCount val="6"/>
                <c:pt idx="0">
                  <c:v>262.8</c:v>
                </c:pt>
                <c:pt idx="1">
                  <c:v>47.709290263750155</c:v>
                </c:pt>
                <c:pt idx="2">
                  <c:v>10.958242753623189</c:v>
                </c:pt>
                <c:pt idx="3">
                  <c:v>100</c:v>
                </c:pt>
                <c:pt idx="4">
                  <c:v>300</c:v>
                </c:pt>
                <c:pt idx="5">
                  <c:v>678.5324669826266</c:v>
                </c:pt>
              </c:numCache>
            </c:numRef>
          </c:val>
        </c:ser>
        <c:dLbls>
          <c:showLegendKey val="0"/>
          <c:showVal val="0"/>
          <c:showCatName val="1"/>
          <c:showSerName val="0"/>
          <c:showPercent val="1"/>
          <c:showBubbleSize val="0"/>
          <c:showLeaderLines val="1"/>
        </c:dLbls>
      </c:pie3DChart>
    </c:plotArea>
    <c:legend>
      <c:legendPos val="l"/>
      <c:layout>
        <c:manualLayout>
          <c:xMode val="edge"/>
          <c:yMode val="edge"/>
          <c:x val="1.8499398698653784E-2"/>
          <c:y val="0.1451329101140198"/>
          <c:w val="0.35630632357793857"/>
          <c:h val="0.83704463594598733"/>
        </c:manualLayout>
      </c:layout>
      <c:overlay val="0"/>
    </c:legend>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RESULTATS!$E$63</c:f>
          <c:strCache>
            <c:ptCount val="1"/>
            <c:pt idx="0">
              <c:v>Charges mensuelles d'un foyer type - PROJET 2</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26445931758530183"/>
          <c:y val="0.25390197582724405"/>
          <c:w val="0.73554068241469817"/>
          <c:h val="0.65680087958700184"/>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RESULTATS!$E$68:$E$73</c:f>
              <c:numCache>
                <c:formatCode>#,###\ "€"</c:formatCode>
                <c:ptCount val="6"/>
                <c:pt idx="0">
                  <c:v>262.8</c:v>
                </c:pt>
                <c:pt idx="1">
                  <c:v>32.556654094606735</c:v>
                </c:pt>
                <c:pt idx="2">
                  <c:v>10.958242753623189</c:v>
                </c:pt>
                <c:pt idx="3">
                  <c:v>100</c:v>
                </c:pt>
                <c:pt idx="4">
                  <c:v>300</c:v>
                </c:pt>
                <c:pt idx="5">
                  <c:v>693.68510315177002</c:v>
                </c:pt>
              </c:numCache>
            </c:numRef>
          </c:val>
        </c:ser>
        <c:dLbls>
          <c:showLegendKey val="0"/>
          <c:showVal val="0"/>
          <c:showCatName val="1"/>
          <c:showSerName val="0"/>
          <c:showPercent val="1"/>
          <c:showBubbleSize val="0"/>
          <c:showLeaderLines val="1"/>
        </c:dLbls>
      </c:pie3DChart>
    </c:plotArea>
    <c:legend>
      <c:legendPos val="l"/>
      <c:layout>
        <c:manualLayout>
          <c:xMode val="edge"/>
          <c:yMode val="edge"/>
          <c:x val="1.5851504420940965E-2"/>
          <c:y val="0.14514511054266149"/>
          <c:w val="0.35712802566345875"/>
          <c:h val="0.83272839541318111"/>
        </c:manualLayout>
      </c:layout>
      <c:overlay val="0"/>
    </c:legend>
    <c:plotVisOnly val="1"/>
    <c:dispBlanksAs val="gap"/>
    <c:showDLblsOverMax val="0"/>
  </c:chart>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7"/>
    </mc:Choice>
    <mc:Fallback>
      <c:style val="27"/>
    </mc:Fallback>
  </mc:AlternateContent>
  <c:chart>
    <c:title>
      <c:tx>
        <c:strRef>
          <c:f>RESULTATS!$C$17</c:f>
          <c:strCache>
            <c:ptCount val="1"/>
            <c:pt idx="0">
              <c:v>COUT GLOBAL décomposé Bailleur/Locataire - EXISTANT</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11030624065400743"/>
          <c:y val="0.16552548073221066"/>
          <c:w val="0.74257694358883786"/>
          <c:h val="0.67995089364223305"/>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c:f>
              <c:strCache>
                <c:ptCount val="2"/>
                <c:pt idx="0">
                  <c:v>Coût global bailleur sur 40 ans</c:v>
                </c:pt>
                <c:pt idx="1">
                  <c:v>Coût global locataire sur 40 ans</c:v>
                </c:pt>
              </c:strCache>
            </c:strRef>
          </c:cat>
          <c:val>
            <c:numRef>
              <c:f>(RESULTATS!$C$27,RESULTATS!$C$32)</c:f>
              <c:numCache>
                <c:formatCode>#,##0\ "€"</c:formatCode>
                <c:ptCount val="2"/>
                <c:pt idx="0">
                  <c:v>4741760.3192785773</c:v>
                </c:pt>
                <c:pt idx="1">
                  <c:v>434365.84663031553</c:v>
                </c:pt>
              </c:numCache>
            </c:numRef>
          </c:val>
        </c:ser>
        <c:dLbls>
          <c:showLegendKey val="0"/>
          <c:showVal val="0"/>
          <c:showCatName val="1"/>
          <c:showSerName val="0"/>
          <c:showPercent val="1"/>
          <c:showBubbleSize val="0"/>
          <c:showLeaderLines val="1"/>
        </c:dLbls>
      </c:pie3DChart>
    </c:plotArea>
    <c:legend>
      <c:legendPos val="b"/>
      <c:layout>
        <c:manualLayout>
          <c:xMode val="edge"/>
          <c:yMode val="edge"/>
          <c:x val="0.11202584519143964"/>
          <c:y val="0.84342186981435152"/>
          <c:w val="0.84235031597733379"/>
          <c:h val="0.13095566742312337"/>
        </c:manualLayout>
      </c:layout>
      <c:overlay val="0"/>
    </c:legend>
    <c:plotVisOnly val="1"/>
    <c:dispBlanksAs val="gap"/>
    <c:showDLblsOverMax val="0"/>
  </c:chart>
  <c:spPr>
    <a:effectLst/>
    <a:scene3d>
      <a:camera prst="orthographicFront"/>
      <a:lightRig rig="threePt" dir="t"/>
    </a:scene3d>
    <a:sp3d/>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RESULTATS!$B$36</c:f>
          <c:strCache>
            <c:ptCount val="1"/>
            <c:pt idx="0">
              <c:v>RESULTATS - METHODOLOGIE</c:v>
            </c:pt>
          </c:strCache>
        </c:strRef>
      </c:tx>
      <c:layout/>
      <c:overlay val="0"/>
      <c:txPr>
        <a:bodyPr/>
        <a:lstStyle/>
        <a:p>
          <a:pPr>
            <a:defRPr sz="1200"/>
          </a:pPr>
          <a:endParaRPr lang="fr-FR"/>
        </a:p>
      </c:txPr>
    </c:title>
    <c:autoTitleDeleted val="0"/>
    <c:plotArea>
      <c:layout/>
      <c:radarChart>
        <c:radarStyle val="marker"/>
        <c:varyColors val="0"/>
        <c:ser>
          <c:idx val="0"/>
          <c:order val="0"/>
          <c:tx>
            <c:strRef>
              <c:f>RESULTATS!$D$38</c:f>
              <c:strCache>
                <c:ptCount val="1"/>
                <c:pt idx="0">
                  <c:v>PROJET 1</c:v>
                </c:pt>
              </c:strCache>
            </c:strRef>
          </c:tx>
          <c:spPr>
            <a:ln>
              <a:solidFill>
                <a:schemeClr val="accent2"/>
              </a:solidFill>
            </a:ln>
          </c:spPr>
          <c:marker>
            <c:symbol val="square"/>
            <c:size val="5"/>
            <c:spPr>
              <a:solidFill>
                <a:schemeClr val="accent2"/>
              </a:solidFill>
              <a:ln>
                <a:solidFill>
                  <a:schemeClr val="accent2"/>
                </a:solidFill>
              </a:ln>
            </c:spPr>
          </c:marker>
          <c:cat>
            <c:strRef>
              <c:f>RESULTATS!$B$39:$B$44</c:f>
              <c:strCache>
                <c:ptCount val="6"/>
                <c:pt idx="0">
                  <c:v>Origine de la rénovation</c:v>
                </c:pt>
                <c:pt idx="1">
                  <c:v>Montage du projet</c:v>
                </c:pt>
                <c:pt idx="2">
                  <c:v>Conception</c:v>
                </c:pt>
                <c:pt idx="3">
                  <c:v>Réalisation</c:v>
                </c:pt>
                <c:pt idx="4">
                  <c:v>Commissionnement</c:v>
                </c:pt>
                <c:pt idx="5">
                  <c:v>Exploitation</c:v>
                </c:pt>
              </c:strCache>
            </c:strRef>
          </c:cat>
          <c:val>
            <c:numRef>
              <c:f>RESULTATS!$D$39:$D$44</c:f>
              <c:numCache>
                <c:formatCode>#0.0" / 5,0"</c:formatCode>
                <c:ptCount val="6"/>
                <c:pt idx="0">
                  <c:v>3.333333333333333</c:v>
                </c:pt>
                <c:pt idx="1">
                  <c:v>2.7777777777777777</c:v>
                </c:pt>
                <c:pt idx="2">
                  <c:v>5</c:v>
                </c:pt>
                <c:pt idx="3">
                  <c:v>2.6666666666666665</c:v>
                </c:pt>
                <c:pt idx="4">
                  <c:v>1</c:v>
                </c:pt>
                <c:pt idx="5">
                  <c:v>3.125</c:v>
                </c:pt>
              </c:numCache>
            </c:numRef>
          </c:val>
        </c:ser>
        <c:ser>
          <c:idx val="1"/>
          <c:order val="1"/>
          <c:tx>
            <c:strRef>
              <c:f>RESULTATS!$E$38</c:f>
              <c:strCache>
                <c:ptCount val="1"/>
                <c:pt idx="0">
                  <c:v>PROJET 2</c:v>
                </c:pt>
              </c:strCache>
            </c:strRef>
          </c:tx>
          <c:spPr>
            <a:ln>
              <a:solidFill>
                <a:schemeClr val="accent3"/>
              </a:solidFill>
            </a:ln>
          </c:spPr>
          <c:marker>
            <c:symbol val="square"/>
            <c:size val="5"/>
            <c:spPr>
              <a:solidFill>
                <a:schemeClr val="accent3"/>
              </a:solidFill>
              <a:ln>
                <a:solidFill>
                  <a:schemeClr val="accent3"/>
                </a:solidFill>
              </a:ln>
            </c:spPr>
          </c:marker>
          <c:cat>
            <c:strRef>
              <c:f>RESULTATS!$B$39:$B$44</c:f>
              <c:strCache>
                <c:ptCount val="6"/>
                <c:pt idx="0">
                  <c:v>Origine de la rénovation</c:v>
                </c:pt>
                <c:pt idx="1">
                  <c:v>Montage du projet</c:v>
                </c:pt>
                <c:pt idx="2">
                  <c:v>Conception</c:v>
                </c:pt>
                <c:pt idx="3">
                  <c:v>Réalisation</c:v>
                </c:pt>
                <c:pt idx="4">
                  <c:v>Commissionnement</c:v>
                </c:pt>
                <c:pt idx="5">
                  <c:v>Exploitation</c:v>
                </c:pt>
              </c:strCache>
            </c:strRef>
          </c:cat>
          <c:val>
            <c:numRef>
              <c:f>RESULTATS!$E$39:$E$44</c:f>
              <c:numCache>
                <c:formatCode>#0.0" / 5,0"</c:formatCode>
                <c:ptCount val="6"/>
                <c:pt idx="0">
                  <c:v>3.333333333333333</c:v>
                </c:pt>
                <c:pt idx="1">
                  <c:v>2.7777777777777777</c:v>
                </c:pt>
                <c:pt idx="2">
                  <c:v>5</c:v>
                </c:pt>
                <c:pt idx="3">
                  <c:v>2.6666666666666665</c:v>
                </c:pt>
                <c:pt idx="4">
                  <c:v>1</c:v>
                </c:pt>
                <c:pt idx="5">
                  <c:v>3.125</c:v>
                </c:pt>
              </c:numCache>
            </c:numRef>
          </c:val>
        </c:ser>
        <c:dLbls>
          <c:showLegendKey val="0"/>
          <c:showVal val="0"/>
          <c:showCatName val="0"/>
          <c:showSerName val="0"/>
          <c:showPercent val="0"/>
          <c:showBubbleSize val="0"/>
        </c:dLbls>
        <c:axId val="198724224"/>
        <c:axId val="198750976"/>
      </c:radarChart>
      <c:catAx>
        <c:axId val="198724224"/>
        <c:scaling>
          <c:orientation val="minMax"/>
        </c:scaling>
        <c:delete val="0"/>
        <c:axPos val="b"/>
        <c:majorGridlines/>
        <c:majorTickMark val="out"/>
        <c:minorTickMark val="none"/>
        <c:tickLblPos val="nextTo"/>
        <c:txPr>
          <a:bodyPr/>
          <a:lstStyle/>
          <a:p>
            <a:pPr>
              <a:defRPr sz="800"/>
            </a:pPr>
            <a:endParaRPr lang="fr-FR"/>
          </a:p>
        </c:txPr>
        <c:crossAx val="198750976"/>
        <c:crosses val="autoZero"/>
        <c:auto val="1"/>
        <c:lblAlgn val="ctr"/>
        <c:lblOffset val="100"/>
        <c:noMultiLvlLbl val="0"/>
      </c:catAx>
      <c:valAx>
        <c:axId val="198750976"/>
        <c:scaling>
          <c:orientation val="minMax"/>
          <c:max val="5"/>
          <c:min val="0"/>
        </c:scaling>
        <c:delete val="0"/>
        <c:axPos val="l"/>
        <c:majorGridlines/>
        <c:numFmt formatCode="#,##0" sourceLinked="0"/>
        <c:majorTickMark val="cross"/>
        <c:minorTickMark val="none"/>
        <c:tickLblPos val="nextTo"/>
        <c:crossAx val="198724224"/>
        <c:crosses val="autoZero"/>
        <c:crossBetween val="between"/>
        <c:majorUnit val="1"/>
      </c:valAx>
    </c:plotArea>
    <c:legend>
      <c:legendPos val="t"/>
      <c:layout>
        <c:manualLayout>
          <c:xMode val="edge"/>
          <c:yMode val="edge"/>
          <c:x val="0.3019152836336107"/>
          <c:y val="0.1236757896844697"/>
          <c:w val="0.34079796238487936"/>
          <c:h val="6.6251438819097855E-2"/>
        </c:manualLayout>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9"/>
    </mc:Choice>
    <mc:Fallback>
      <c:style val="29"/>
    </mc:Fallback>
  </mc:AlternateContent>
  <c:chart>
    <c:title>
      <c:tx>
        <c:strRef>
          <c:f>RESULTATS!$E$17</c:f>
          <c:strCache>
            <c:ptCount val="1"/>
            <c:pt idx="0">
              <c:v>COUT GLOBAL décomposé Bailleur/Locataire - PROJET 2</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16557835671924565"/>
          <c:y val="0.16583143400322975"/>
          <c:w val="0.69947982375273121"/>
          <c:h val="0.64060567476627439"/>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(RESULTATS!$B$27,RESULTATS!$B$32,RESULTATS!$B$34)</c:f>
              <c:strCache>
                <c:ptCount val="3"/>
                <c:pt idx="0">
                  <c:v>Coût global bailleur sur 40 ans</c:v>
                </c:pt>
                <c:pt idx="1">
                  <c:v>Coût global locataire sur 40 ans</c:v>
                </c:pt>
                <c:pt idx="2">
                  <c:v>Economie par rapport à l'existant</c:v>
                </c:pt>
              </c:strCache>
            </c:strRef>
          </c:cat>
          <c:val>
            <c:numRef>
              <c:f>(RESULTATS!$E$27,RESULTATS!$E$32,RESULTATS!$E$34)</c:f>
              <c:numCache>
                <c:formatCode>#,##0\ "€"</c:formatCode>
                <c:ptCount val="3"/>
                <c:pt idx="0">
                  <c:v>2868070.2360611358</c:v>
                </c:pt>
                <c:pt idx="1">
                  <c:v>411719.8495386804</c:v>
                </c:pt>
                <c:pt idx="2">
                  <c:v>1896336.0803090762</c:v>
                </c:pt>
              </c:numCache>
            </c:numRef>
          </c:val>
        </c:ser>
        <c:dLbls>
          <c:showLegendKey val="0"/>
          <c:showVal val="0"/>
          <c:showCatName val="1"/>
          <c:showSerName val="0"/>
          <c:showPercent val="1"/>
          <c:showBubbleSize val="0"/>
          <c:showLeaderLines val="1"/>
        </c:dLbls>
      </c:pie3DChart>
    </c:plotArea>
    <c:legend>
      <c:legendPos val="b"/>
      <c:layout>
        <c:manualLayout>
          <c:xMode val="edge"/>
          <c:yMode val="edge"/>
          <c:x val="4.242129485122785E-2"/>
          <c:y val="0.8081623711201007"/>
          <c:w val="0.90778231865331993"/>
          <c:h val="0.16611565840143017"/>
        </c:manualLayout>
      </c:layout>
      <c:overlay val="0"/>
    </c:legend>
    <c:plotVisOnly val="1"/>
    <c:dispBlanksAs val="gap"/>
    <c:showDLblsOverMax val="0"/>
  </c:chart>
  <c:spPr>
    <a:effectLst/>
  </c:sp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8"/>
    </mc:Choice>
    <mc:Fallback>
      <c:style val="28"/>
    </mc:Fallback>
  </mc:AlternateContent>
  <c:chart>
    <c:title>
      <c:tx>
        <c:strRef>
          <c:f>RESULTATS!$D$17</c:f>
          <c:strCache>
            <c:ptCount val="1"/>
            <c:pt idx="0">
              <c:v>COUT GLOBAL décomposé Bailleur/Locataire - PROJET 1</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15340176445933032"/>
          <c:y val="0.15719903594285869"/>
          <c:w val="0.72569703250551298"/>
          <c:h val="0.65792882989927359"/>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(RESULTATS!$B$27,RESULTATS!$B$32,RESULTATS!$B$34)</c:f>
              <c:strCache>
                <c:ptCount val="3"/>
                <c:pt idx="0">
                  <c:v>Coût global bailleur sur 40 ans</c:v>
                </c:pt>
                <c:pt idx="1">
                  <c:v>Coût global locataire sur 40 ans</c:v>
                </c:pt>
                <c:pt idx="2">
                  <c:v>Economie par rapport à l'existant</c:v>
                </c:pt>
              </c:strCache>
            </c:strRef>
          </c:cat>
          <c:val>
            <c:numRef>
              <c:f>(RESULTATS!$D$27,RESULTATS!$D$32,RESULTATS!$D$34)</c:f>
              <c:numCache>
                <c:formatCode>#,##0\ "€"</c:formatCode>
                <c:ptCount val="3"/>
                <c:pt idx="0">
                  <c:v>3248012.1465521245</c:v>
                </c:pt>
                <c:pt idx="1">
                  <c:v>444189.55361271143</c:v>
                </c:pt>
                <c:pt idx="2">
                  <c:v>1483924.4657440567</c:v>
                </c:pt>
              </c:numCache>
            </c:numRef>
          </c:val>
        </c:ser>
        <c:dLbls>
          <c:showLegendKey val="0"/>
          <c:showVal val="0"/>
          <c:showCatName val="1"/>
          <c:showSerName val="0"/>
          <c:showPercent val="1"/>
          <c:showBubbleSize val="0"/>
          <c:showLeaderLines val="1"/>
        </c:dLbls>
      </c:pie3DChart>
    </c:plotArea>
    <c:legend>
      <c:legendPos val="b"/>
      <c:layout>
        <c:manualLayout>
          <c:xMode val="edge"/>
          <c:yMode val="edge"/>
          <c:x val="2.9885533548116308E-2"/>
          <c:y val="0.81245139207690853"/>
          <c:w val="0.89583928617719799"/>
          <c:h val="0.16182691528719181"/>
        </c:manualLayout>
      </c:layout>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RESULTATS!$B$50</c:f>
          <c:strCache>
            <c:ptCount val="1"/>
            <c:pt idx="0">
              <c:v>RESULTATS - EXPLOITATION - 40 ans</c:v>
            </c:pt>
          </c:strCache>
        </c:strRef>
      </c:tx>
      <c:layout/>
      <c:overlay val="0"/>
      <c:txPr>
        <a:bodyPr/>
        <a:lstStyle/>
        <a:p>
          <a:pPr>
            <a:defRPr sz="1200"/>
          </a:pPr>
          <a:endParaRPr lang="fr-FR"/>
        </a:p>
      </c:txPr>
    </c:title>
    <c:autoTitleDeleted val="0"/>
    <c:view3D>
      <c:rotX val="15"/>
      <c:rotY val="20"/>
      <c:rAngAx val="1"/>
    </c:view3D>
    <c:floor>
      <c:thickness val="0"/>
    </c:floor>
    <c:sideWall>
      <c:thickness val="0"/>
    </c:sideWall>
    <c:backWall>
      <c:thickness val="0"/>
    </c:backWall>
    <c:plotArea>
      <c:layout>
        <c:manualLayout>
          <c:layoutTarget val="inner"/>
          <c:xMode val="edge"/>
          <c:yMode val="edge"/>
          <c:x val="9.3566039540539048E-2"/>
          <c:y val="0.14678378548763318"/>
          <c:w val="0.77988924640934842"/>
          <c:h val="0.54722594973083549"/>
        </c:manualLayout>
      </c:layout>
      <c:bar3DChart>
        <c:barDir val="col"/>
        <c:grouping val="clustered"/>
        <c:varyColors val="0"/>
        <c:ser>
          <c:idx val="0"/>
          <c:order val="0"/>
          <c:tx>
            <c:strRef>
              <c:f>RESULTATS!$C$52</c:f>
              <c:strCache>
                <c:ptCount val="1"/>
                <c:pt idx="0">
                  <c:v>EXISTANT</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RESULTATS!$C$53:$C$60</c:f>
              <c:numCache>
                <c:formatCode>#,##0\ "€"</c:formatCode>
                <c:ptCount val="8"/>
                <c:pt idx="0">
                  <c:v>0</c:v>
                </c:pt>
                <c:pt idx="1">
                  <c:v>207360</c:v>
                </c:pt>
                <c:pt idx="2">
                  <c:v>104831.99999999999</c:v>
                </c:pt>
                <c:pt idx="3">
                  <c:v>0</c:v>
                </c:pt>
                <c:pt idx="4">
                  <c:v>40000</c:v>
                </c:pt>
                <c:pt idx="5">
                  <c:v>208528</c:v>
                </c:pt>
                <c:pt idx="6">
                  <c:v>0</c:v>
                </c:pt>
                <c:pt idx="7">
                  <c:v>48000</c:v>
                </c:pt>
              </c:numCache>
            </c:numRef>
          </c:val>
        </c:ser>
        <c:ser>
          <c:idx val="1"/>
          <c:order val="1"/>
          <c:tx>
            <c:strRef>
              <c:f>RESULTATS!$D$52</c:f>
              <c:strCache>
                <c:ptCount val="1"/>
                <c:pt idx="0">
                  <c:v>PROJET 1</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RESULTATS!$D$53:$D$60</c:f>
              <c:numCache>
                <c:formatCode>#,##0\ "€"</c:formatCode>
                <c:ptCount val="8"/>
                <c:pt idx="0">
                  <c:v>0</c:v>
                </c:pt>
                <c:pt idx="1">
                  <c:v>0</c:v>
                </c:pt>
                <c:pt idx="2">
                  <c:v>0</c:v>
                </c:pt>
                <c:pt idx="3">
                  <c:v>0</c:v>
                </c:pt>
                <c:pt idx="4">
                  <c:v>8000</c:v>
                </c:pt>
                <c:pt idx="5">
                  <c:v>208528</c:v>
                </c:pt>
                <c:pt idx="6">
                  <c:v>0</c:v>
                </c:pt>
                <c:pt idx="7">
                  <c:v>48000</c:v>
                </c:pt>
              </c:numCache>
            </c:numRef>
          </c:val>
        </c:ser>
        <c:ser>
          <c:idx val="2"/>
          <c:order val="2"/>
          <c:tx>
            <c:strRef>
              <c:f>RESULTATS!$E$52</c:f>
              <c:strCache>
                <c:ptCount val="1"/>
                <c:pt idx="0">
                  <c:v>PROJET 2</c:v>
                </c:pt>
              </c:strCache>
            </c:strRef>
          </c:tx>
          <c:invertIfNegative val="0"/>
          <c:cat>
            <c:strRef>
              <c:f>RESULTATS!$B$53:$B$60</c:f>
              <c:strCache>
                <c:ptCount val="8"/>
                <c:pt idx="0">
                  <c:v>Plancher bas</c:v>
                </c:pt>
                <c:pt idx="1">
                  <c:v>Mur sur extérieur</c:v>
                </c:pt>
                <c:pt idx="2">
                  <c:v>Menuiseries</c:v>
                </c:pt>
                <c:pt idx="3">
                  <c:v>Occultations</c:v>
                </c:pt>
                <c:pt idx="4">
                  <c:v>Toiture</c:v>
                </c:pt>
                <c:pt idx="5">
                  <c:v>Chauffage (P2-P3)</c:v>
                </c:pt>
                <c:pt idx="6">
                  <c:v>ECS (P2-P3)</c:v>
                </c:pt>
                <c:pt idx="7">
                  <c:v>Ventilation (P2-P3)</c:v>
                </c:pt>
              </c:strCache>
            </c:strRef>
          </c:cat>
          <c:val>
            <c:numRef>
              <c:f>RESULTATS!$E$53:$E$60</c:f>
              <c:numCache>
                <c:formatCode>#,##0\ "€"</c:formatCode>
                <c:ptCount val="8"/>
                <c:pt idx="0">
                  <c:v>0</c:v>
                </c:pt>
                <c:pt idx="1">
                  <c:v>0</c:v>
                </c:pt>
                <c:pt idx="2">
                  <c:v>0</c:v>
                </c:pt>
                <c:pt idx="3">
                  <c:v>0</c:v>
                </c:pt>
                <c:pt idx="4">
                  <c:v>8000</c:v>
                </c:pt>
                <c:pt idx="5">
                  <c:v>199328</c:v>
                </c:pt>
                <c:pt idx="6">
                  <c:v>0</c:v>
                </c:pt>
                <c:pt idx="7">
                  <c:v>48000</c:v>
                </c:pt>
              </c:numCache>
            </c:numRef>
          </c:val>
        </c:ser>
        <c:dLbls>
          <c:showLegendKey val="0"/>
          <c:showVal val="0"/>
          <c:showCatName val="0"/>
          <c:showSerName val="0"/>
          <c:showPercent val="0"/>
          <c:showBubbleSize val="0"/>
        </c:dLbls>
        <c:gapWidth val="150"/>
        <c:shape val="box"/>
        <c:axId val="198769280"/>
        <c:axId val="198771072"/>
        <c:axId val="0"/>
      </c:bar3DChart>
      <c:catAx>
        <c:axId val="198769280"/>
        <c:scaling>
          <c:orientation val="minMax"/>
        </c:scaling>
        <c:delete val="0"/>
        <c:axPos val="b"/>
        <c:numFmt formatCode="General" sourceLinked="1"/>
        <c:majorTickMark val="out"/>
        <c:minorTickMark val="none"/>
        <c:tickLblPos val="nextTo"/>
        <c:txPr>
          <a:bodyPr/>
          <a:lstStyle/>
          <a:p>
            <a:pPr>
              <a:defRPr sz="800"/>
            </a:pPr>
            <a:endParaRPr lang="fr-FR"/>
          </a:p>
        </c:txPr>
        <c:crossAx val="198771072"/>
        <c:crosses val="autoZero"/>
        <c:auto val="1"/>
        <c:lblAlgn val="ctr"/>
        <c:lblOffset val="100"/>
        <c:noMultiLvlLbl val="0"/>
      </c:catAx>
      <c:valAx>
        <c:axId val="198771072"/>
        <c:scaling>
          <c:orientation val="minMax"/>
        </c:scaling>
        <c:delete val="0"/>
        <c:axPos val="l"/>
        <c:majorGridlines/>
        <c:numFmt formatCode="#,##0,&quot; k€&quot;" sourceLinked="0"/>
        <c:majorTickMark val="out"/>
        <c:minorTickMark val="none"/>
        <c:tickLblPos val="nextTo"/>
        <c:txPr>
          <a:bodyPr/>
          <a:lstStyle/>
          <a:p>
            <a:pPr>
              <a:defRPr sz="800"/>
            </a:pPr>
            <a:endParaRPr lang="fr-FR"/>
          </a:p>
        </c:txPr>
        <c:crossAx val="198769280"/>
        <c:crosses val="autoZero"/>
        <c:crossBetween val="between"/>
      </c:valAx>
    </c:plotArea>
    <c:legend>
      <c:legendPos val="r"/>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RESULTATS!$B$2</c:f>
          <c:strCache>
            <c:ptCount val="1"/>
            <c:pt idx="0">
              <c:v>RESULTATS - COÛT GLOBAL - 40 ans</c:v>
            </c:pt>
          </c:strCache>
        </c:strRef>
      </c:tx>
      <c:layout/>
      <c:overlay val="0"/>
      <c:txPr>
        <a:bodyPr/>
        <a:lstStyle/>
        <a:p>
          <a:pPr>
            <a:defRPr sz="1200"/>
          </a:pPr>
          <a:endParaRPr lang="fr-FR"/>
        </a:p>
      </c:txPr>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RESULTATS!$B$5</c:f>
              <c:strCache>
                <c:ptCount val="1"/>
                <c:pt idx="0">
                  <c:v>Attractivité</c:v>
                </c:pt>
              </c:strCache>
            </c:strRef>
          </c:tx>
          <c:invertIfNegative val="0"/>
          <c:cat>
            <c:strRef>
              <c:f>RESULTATS!$C$4:$E$4</c:f>
              <c:strCache>
                <c:ptCount val="3"/>
                <c:pt idx="0">
                  <c:v>EXISTANT</c:v>
                </c:pt>
                <c:pt idx="1">
                  <c:v>PROJET 1</c:v>
                </c:pt>
                <c:pt idx="2">
                  <c:v>PROJET 2</c:v>
                </c:pt>
              </c:strCache>
            </c:strRef>
          </c:cat>
          <c:val>
            <c:numRef>
              <c:f>RESULTATS!$C$5:$E$5</c:f>
              <c:numCache>
                <c:formatCode>#,##0\ "€"</c:formatCode>
                <c:ptCount val="3"/>
                <c:pt idx="0">
                  <c:v>369224</c:v>
                </c:pt>
                <c:pt idx="1">
                  <c:v>313840.40000000002</c:v>
                </c:pt>
                <c:pt idx="2">
                  <c:v>313840.40000000002</c:v>
                </c:pt>
              </c:numCache>
            </c:numRef>
          </c:val>
        </c:ser>
        <c:ser>
          <c:idx val="1"/>
          <c:order val="1"/>
          <c:tx>
            <c:strRef>
              <c:f>RESULTATS!$B$6</c:f>
              <c:strCache>
                <c:ptCount val="1"/>
                <c:pt idx="0">
                  <c:v>Renouvellement (bâti et équipements)</c:v>
                </c:pt>
              </c:strCache>
            </c:strRef>
          </c:tx>
          <c:invertIfNegative val="0"/>
          <c:cat>
            <c:strRef>
              <c:f>RESULTATS!$C$4:$E$4</c:f>
              <c:strCache>
                <c:ptCount val="3"/>
                <c:pt idx="0">
                  <c:v>EXISTANT</c:v>
                </c:pt>
                <c:pt idx="1">
                  <c:v>PROJET 1</c:v>
                </c:pt>
                <c:pt idx="2">
                  <c:v>PROJET 2</c:v>
                </c:pt>
              </c:strCache>
            </c:strRef>
          </c:cat>
          <c:val>
            <c:numRef>
              <c:f>RESULTATS!$C$6:$E$6</c:f>
              <c:numCache>
                <c:formatCode>#,##0\ "€"</c:formatCode>
                <c:ptCount val="3"/>
                <c:pt idx="0">
                  <c:v>834121.90476190473</c:v>
                </c:pt>
                <c:pt idx="1">
                  <c:v>813649.90476190473</c:v>
                </c:pt>
                <c:pt idx="2">
                  <c:v>560950.4761904761</c:v>
                </c:pt>
              </c:numCache>
            </c:numRef>
          </c:val>
        </c:ser>
        <c:ser>
          <c:idx val="2"/>
          <c:order val="2"/>
          <c:tx>
            <c:strRef>
              <c:f>RESULTATS!$B$7</c:f>
              <c:strCache>
                <c:ptCount val="1"/>
                <c:pt idx="0">
                  <c:v>Entretien bâti</c:v>
                </c:pt>
              </c:strCache>
            </c:strRef>
          </c:tx>
          <c:invertIfNegative val="0"/>
          <c:cat>
            <c:strRef>
              <c:f>RESULTATS!$C$4:$E$4</c:f>
              <c:strCache>
                <c:ptCount val="3"/>
                <c:pt idx="0">
                  <c:v>EXISTANT</c:v>
                </c:pt>
                <c:pt idx="1">
                  <c:v>PROJET 1</c:v>
                </c:pt>
                <c:pt idx="2">
                  <c:v>PROJET 2</c:v>
                </c:pt>
              </c:strCache>
            </c:strRef>
          </c:cat>
          <c:val>
            <c:numRef>
              <c:f>RESULTATS!$C$7:$E$7</c:f>
              <c:numCache>
                <c:formatCode>#,##0\ "€"</c:formatCode>
                <c:ptCount val="3"/>
                <c:pt idx="0">
                  <c:v>352192</c:v>
                </c:pt>
                <c:pt idx="1">
                  <c:v>8000</c:v>
                </c:pt>
                <c:pt idx="2">
                  <c:v>8000</c:v>
                </c:pt>
              </c:numCache>
            </c:numRef>
          </c:val>
        </c:ser>
        <c:ser>
          <c:idx val="3"/>
          <c:order val="3"/>
          <c:tx>
            <c:strRef>
              <c:f>RESULTATS!$B$8</c:f>
              <c:strCache>
                <c:ptCount val="1"/>
                <c:pt idx="0">
                  <c:v>Entretien maintenance équipements</c:v>
                </c:pt>
              </c:strCache>
            </c:strRef>
          </c:tx>
          <c:invertIfNegative val="0"/>
          <c:cat>
            <c:strRef>
              <c:f>RESULTATS!$C$4:$E$4</c:f>
              <c:strCache>
                <c:ptCount val="3"/>
                <c:pt idx="0">
                  <c:v>EXISTANT</c:v>
                </c:pt>
                <c:pt idx="1">
                  <c:v>PROJET 1</c:v>
                </c:pt>
                <c:pt idx="2">
                  <c:v>PROJET 2</c:v>
                </c:pt>
              </c:strCache>
            </c:strRef>
          </c:cat>
          <c:val>
            <c:numRef>
              <c:f>RESULTATS!$C$8:$E$8</c:f>
              <c:numCache>
                <c:formatCode>#,##0\ "€"</c:formatCode>
                <c:ptCount val="3"/>
                <c:pt idx="0">
                  <c:v>256528</c:v>
                </c:pt>
                <c:pt idx="1">
                  <c:v>256528</c:v>
                </c:pt>
                <c:pt idx="2">
                  <c:v>247328</c:v>
                </c:pt>
              </c:numCache>
            </c:numRef>
          </c:val>
        </c:ser>
        <c:ser>
          <c:idx val="4"/>
          <c:order val="4"/>
          <c:tx>
            <c:strRef>
              <c:f>RESULTATS!$B$9</c:f>
              <c:strCache>
                <c:ptCount val="1"/>
                <c:pt idx="0">
                  <c:v>Energie (combustible)</c:v>
                </c:pt>
              </c:strCache>
            </c:strRef>
          </c:tx>
          <c:invertIfNegative val="0"/>
          <c:cat>
            <c:strRef>
              <c:f>RESULTATS!$C$4:$E$4</c:f>
              <c:strCache>
                <c:ptCount val="3"/>
                <c:pt idx="0">
                  <c:v>EXISTANT</c:v>
                </c:pt>
                <c:pt idx="1">
                  <c:v>PROJET 1</c:v>
                </c:pt>
                <c:pt idx="2">
                  <c:v>PROJET 2</c:v>
                </c:pt>
              </c:strCache>
            </c:strRef>
          </c:cat>
          <c:val>
            <c:numRef>
              <c:f>RESULTATS!$C$9:$E$9</c:f>
              <c:numCache>
                <c:formatCode>#,##0\ "€"</c:formatCode>
                <c:ptCount val="3"/>
                <c:pt idx="0">
                  <c:v>3122102.2611469883</c:v>
                </c:pt>
                <c:pt idx="1">
                  <c:v>1099585.547031194</c:v>
                </c:pt>
                <c:pt idx="2">
                  <c:v>750353.36103760288</c:v>
                </c:pt>
              </c:numCache>
            </c:numRef>
          </c:val>
        </c:ser>
        <c:ser>
          <c:idx val="5"/>
          <c:order val="5"/>
          <c:tx>
            <c:strRef>
              <c:f>RESULTATS!$B$10</c:f>
              <c:strCache>
                <c:ptCount val="1"/>
                <c:pt idx="0">
                  <c:v>Energie (abonnement)</c:v>
                </c:pt>
              </c:strCache>
            </c:strRef>
          </c:tx>
          <c:invertIfNegative val="0"/>
          <c:cat>
            <c:strRef>
              <c:f>RESULTATS!$C$4:$E$4</c:f>
              <c:strCache>
                <c:ptCount val="3"/>
                <c:pt idx="0">
                  <c:v>EXISTANT</c:v>
                </c:pt>
                <c:pt idx="1">
                  <c:v>PROJET 1</c:v>
                </c:pt>
                <c:pt idx="2">
                  <c:v>PROJET 2</c:v>
                </c:pt>
              </c:strCache>
            </c:strRef>
          </c:cat>
          <c:val>
            <c:numRef>
              <c:f>RESULTATS!$C$10:$E$10</c:f>
              <c:numCache>
                <c:formatCode>#,##0\ "€"</c:formatCode>
                <c:ptCount val="3"/>
                <c:pt idx="0">
                  <c:v>241958</c:v>
                </c:pt>
                <c:pt idx="1">
                  <c:v>241958</c:v>
                </c:pt>
                <c:pt idx="2">
                  <c:v>241958</c:v>
                </c:pt>
              </c:numCache>
            </c:numRef>
          </c:val>
        </c:ser>
        <c:ser>
          <c:idx val="6"/>
          <c:order val="6"/>
          <c:tx>
            <c:strRef>
              <c:f>RESULTATS!$B$11</c:f>
              <c:strCache>
                <c:ptCount val="1"/>
                <c:pt idx="0">
                  <c:v>Investissement</c:v>
                </c:pt>
              </c:strCache>
            </c:strRef>
          </c:tx>
          <c:invertIfNegative val="0"/>
          <c:cat>
            <c:strRef>
              <c:f>RESULTATS!$C$4:$E$4</c:f>
              <c:strCache>
                <c:ptCount val="3"/>
                <c:pt idx="0">
                  <c:v>EXISTANT</c:v>
                </c:pt>
                <c:pt idx="1">
                  <c:v>PROJET 1</c:v>
                </c:pt>
                <c:pt idx="2">
                  <c:v>PROJET 2</c:v>
                </c:pt>
              </c:strCache>
            </c:strRef>
          </c:cat>
          <c:val>
            <c:numRef>
              <c:f>RESULTATS!$C$11:$E$11</c:f>
              <c:numCache>
                <c:formatCode>#,##0\ "€"</c:formatCode>
                <c:ptCount val="3"/>
                <c:pt idx="0">
                  <c:v>0</c:v>
                </c:pt>
                <c:pt idx="1">
                  <c:v>843924.41860465112</c:v>
                </c:pt>
                <c:pt idx="2">
                  <c:v>1042644.4186046511</c:v>
                </c:pt>
              </c:numCache>
            </c:numRef>
          </c:val>
        </c:ser>
        <c:ser>
          <c:idx val="7"/>
          <c:order val="7"/>
          <c:tx>
            <c:strRef>
              <c:f>RESULTATS!$B$12</c:f>
              <c:strCache>
                <c:ptCount val="1"/>
                <c:pt idx="0">
                  <c:v>Coût emprunt</c:v>
                </c:pt>
              </c:strCache>
            </c:strRef>
          </c:tx>
          <c:invertIfNegative val="0"/>
          <c:cat>
            <c:strRef>
              <c:f>RESULTATS!$C$4:$E$4</c:f>
              <c:strCache>
                <c:ptCount val="3"/>
                <c:pt idx="0">
                  <c:v>EXISTANT</c:v>
                </c:pt>
                <c:pt idx="1">
                  <c:v>PROJET 1</c:v>
                </c:pt>
                <c:pt idx="2">
                  <c:v>PROJET 2</c:v>
                </c:pt>
              </c:strCache>
            </c:strRef>
          </c:cat>
          <c:val>
            <c:numRef>
              <c:f>RESULTATS!$C$12:$E$12</c:f>
              <c:numCache>
                <c:formatCode>#,##0\ "€"</c:formatCode>
                <c:ptCount val="3"/>
                <c:pt idx="0">
                  <c:v>0</c:v>
                </c:pt>
                <c:pt idx="1">
                  <c:v>114715.42976708601</c:v>
                </c:pt>
                <c:pt idx="2">
                  <c:v>114715.42976708601</c:v>
                </c:pt>
              </c:numCache>
            </c:numRef>
          </c:val>
        </c:ser>
        <c:dLbls>
          <c:showLegendKey val="0"/>
          <c:showVal val="0"/>
          <c:showCatName val="0"/>
          <c:showSerName val="0"/>
          <c:showPercent val="0"/>
          <c:showBubbleSize val="0"/>
        </c:dLbls>
        <c:gapWidth val="150"/>
        <c:shape val="cylinder"/>
        <c:axId val="198818048"/>
        <c:axId val="198828032"/>
        <c:axId val="0"/>
      </c:bar3DChart>
      <c:catAx>
        <c:axId val="198818048"/>
        <c:scaling>
          <c:orientation val="minMax"/>
        </c:scaling>
        <c:delete val="0"/>
        <c:axPos val="b"/>
        <c:majorTickMark val="out"/>
        <c:minorTickMark val="none"/>
        <c:tickLblPos val="nextTo"/>
        <c:crossAx val="198828032"/>
        <c:crosses val="autoZero"/>
        <c:auto val="1"/>
        <c:lblAlgn val="ctr"/>
        <c:lblOffset val="100"/>
        <c:noMultiLvlLbl val="0"/>
      </c:catAx>
      <c:valAx>
        <c:axId val="198828032"/>
        <c:scaling>
          <c:orientation val="minMax"/>
        </c:scaling>
        <c:delete val="0"/>
        <c:axPos val="l"/>
        <c:majorGridlines/>
        <c:numFmt formatCode="#,##0,&quot; k€&quot;" sourceLinked="0"/>
        <c:majorTickMark val="out"/>
        <c:minorTickMark val="none"/>
        <c:tickLblPos val="nextTo"/>
        <c:crossAx val="198818048"/>
        <c:crosses val="autoZero"/>
        <c:crossBetween val="between"/>
      </c:valAx>
    </c:plotArea>
    <c:legend>
      <c:legendPos val="r"/>
      <c:layout>
        <c:manualLayout>
          <c:xMode val="edge"/>
          <c:yMode val="edge"/>
          <c:x val="0.65018599682335032"/>
          <c:y val="0.14368856168169211"/>
          <c:w val="0.30455256546648757"/>
          <c:h val="0.76962734963523127"/>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RESULTATS!$C$63</c:f>
          <c:strCache>
            <c:ptCount val="1"/>
            <c:pt idx="0">
              <c:v>Charges mensuelles d'un foyer type - EXISTANT</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12762453753158098"/>
          <c:y val="0.19182401201404972"/>
          <c:w val="0.87237546246841902"/>
          <c:h val="0.7821054459952379"/>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RESULTATS!$C$68:$C$73</c:f>
              <c:numCache>
                <c:formatCode>#,###\ "€"</c:formatCode>
                <c:ptCount val="6"/>
                <c:pt idx="0">
                  <c:v>262.8</c:v>
                </c:pt>
                <c:pt idx="1">
                  <c:v>141.91373914304492</c:v>
                </c:pt>
                <c:pt idx="2">
                  <c:v>10.958242753623189</c:v>
                </c:pt>
                <c:pt idx="3">
                  <c:v>100</c:v>
                </c:pt>
                <c:pt idx="4">
                  <c:v>300</c:v>
                </c:pt>
                <c:pt idx="5">
                  <c:v>584.32801810333194</c:v>
                </c:pt>
              </c:numCache>
            </c:numRef>
          </c:val>
        </c:ser>
        <c:dLbls>
          <c:showLegendKey val="0"/>
          <c:showVal val="0"/>
          <c:showCatName val="1"/>
          <c:showSerName val="0"/>
          <c:showPercent val="1"/>
          <c:showBubbleSize val="0"/>
          <c:showLeaderLines val="1"/>
        </c:dLbls>
      </c:pie3DChart>
      <c:spPr>
        <a:effectLst/>
      </c:spPr>
    </c:plotArea>
    <c:legend>
      <c:legendPos val="l"/>
      <c:layout>
        <c:manualLayout>
          <c:xMode val="edge"/>
          <c:yMode val="edge"/>
          <c:x val="1.5851602374411935E-2"/>
          <c:y val="0.11930870992284921"/>
          <c:w val="0.28621420257806968"/>
          <c:h val="0.85426074697149679"/>
        </c:manualLayout>
      </c:layout>
      <c:overlay val="0"/>
    </c:legend>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RESULTATS!$D$63</c:f>
          <c:strCache>
            <c:ptCount val="1"/>
            <c:pt idx="0">
              <c:v>Charges mensuelles d'un foyer type - PROJET 1</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0.11891156490887929"/>
          <c:y val="0.1531987857533165"/>
          <c:w val="0.88108843509112067"/>
          <c:h val="0.77352197434375025"/>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RESULTATS!$D$68:$D$73</c:f>
              <c:numCache>
                <c:formatCode>#,###\ "€"</c:formatCode>
                <c:ptCount val="6"/>
                <c:pt idx="0">
                  <c:v>262.8</c:v>
                </c:pt>
                <c:pt idx="1">
                  <c:v>47.709290263750155</c:v>
                </c:pt>
                <c:pt idx="2">
                  <c:v>10.958242753623189</c:v>
                </c:pt>
                <c:pt idx="3">
                  <c:v>100</c:v>
                </c:pt>
                <c:pt idx="4">
                  <c:v>300</c:v>
                </c:pt>
                <c:pt idx="5">
                  <c:v>678.5324669826266</c:v>
                </c:pt>
              </c:numCache>
            </c:numRef>
          </c:val>
        </c:ser>
        <c:dLbls>
          <c:showLegendKey val="0"/>
          <c:showVal val="0"/>
          <c:showCatName val="1"/>
          <c:showSerName val="0"/>
          <c:showPercent val="1"/>
          <c:showBubbleSize val="0"/>
          <c:showLeaderLines val="1"/>
        </c:dLbls>
      </c:pie3DChart>
    </c:plotArea>
    <c:legend>
      <c:legendPos val="l"/>
      <c:layout>
        <c:manualLayout>
          <c:xMode val="edge"/>
          <c:yMode val="edge"/>
          <c:x val="1.8499398698653784E-2"/>
          <c:y val="0.1451329101140198"/>
          <c:w val="0.28621420257806968"/>
          <c:h val="0.83704463594598733"/>
        </c:manualLayout>
      </c:layout>
      <c:overlay val="0"/>
    </c:legend>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RESULTATS!$E$63</c:f>
          <c:strCache>
            <c:ptCount val="1"/>
            <c:pt idx="0">
              <c:v>Charges mensuelles d'un foyer type - PROJET 2</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7.927423792173427E-2"/>
          <c:y val="0.14461538773472973"/>
          <c:w val="0.92072576207826573"/>
          <c:h val="0.82073066344597745"/>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RESULTATS!$B$68:$B$73</c:f>
              <c:strCache>
                <c:ptCount val="6"/>
                <c:pt idx="0">
                  <c:v>Loyer</c:v>
                </c:pt>
                <c:pt idx="1">
                  <c:v>Facture énergie locataire</c:v>
                </c:pt>
                <c:pt idx="2">
                  <c:v>Abonnements énergies locataire</c:v>
                </c:pt>
                <c:pt idx="3">
                  <c:v>Chages locataire - autres qu'énergies</c:v>
                </c:pt>
                <c:pt idx="4">
                  <c:v>Autres dépenses contraintes ménage </c:v>
                </c:pt>
                <c:pt idx="5">
                  <c:v>Reste pour vivre</c:v>
                </c:pt>
              </c:strCache>
            </c:strRef>
          </c:cat>
          <c:val>
            <c:numRef>
              <c:f>RESULTATS!$E$68:$E$73</c:f>
              <c:numCache>
                <c:formatCode>#,###\ "€"</c:formatCode>
                <c:ptCount val="6"/>
                <c:pt idx="0">
                  <c:v>262.8</c:v>
                </c:pt>
                <c:pt idx="1">
                  <c:v>32.556654094606735</c:v>
                </c:pt>
                <c:pt idx="2">
                  <c:v>10.958242753623189</c:v>
                </c:pt>
                <c:pt idx="3">
                  <c:v>100</c:v>
                </c:pt>
                <c:pt idx="4">
                  <c:v>300</c:v>
                </c:pt>
                <c:pt idx="5">
                  <c:v>693.68510315177002</c:v>
                </c:pt>
              </c:numCache>
            </c:numRef>
          </c:val>
        </c:ser>
        <c:dLbls>
          <c:showLegendKey val="0"/>
          <c:showVal val="0"/>
          <c:showCatName val="1"/>
          <c:showSerName val="0"/>
          <c:showPercent val="1"/>
          <c:showBubbleSize val="0"/>
          <c:showLeaderLines val="1"/>
        </c:dLbls>
      </c:pie3DChart>
    </c:plotArea>
    <c:legend>
      <c:legendPos val="l"/>
      <c:layout>
        <c:manualLayout>
          <c:xMode val="edge"/>
          <c:yMode val="edge"/>
          <c:x val="1.5851504420940965E-2"/>
          <c:y val="0.14514511054266149"/>
          <c:w val="0.27564646766179501"/>
          <c:h val="0.83272839541318111"/>
        </c:manualLayout>
      </c:layout>
      <c:overlay val="0"/>
    </c:legend>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7"/>
    </mc:Choice>
    <mc:Fallback>
      <c:style val="27"/>
    </mc:Fallback>
  </mc:AlternateContent>
  <c:chart>
    <c:title>
      <c:tx>
        <c:strRef>
          <c:f>RESULTATS!$C$17</c:f>
          <c:strCache>
            <c:ptCount val="1"/>
            <c:pt idx="0">
              <c:v>COUT GLOBAL décomposé Bailleur/Locataire - EXISTANT</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7.0138103217394863E-3"/>
          <c:y val="0.13136235098940288"/>
          <c:w val="0.92702787035025014"/>
          <c:h val="0.84649687209346769"/>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c:f>
              <c:strCache>
                <c:ptCount val="2"/>
                <c:pt idx="0">
                  <c:v>Coût global bailleur sur 40 ans</c:v>
                </c:pt>
                <c:pt idx="1">
                  <c:v>Coût global locataire sur 40 ans</c:v>
                </c:pt>
              </c:strCache>
            </c:strRef>
          </c:cat>
          <c:val>
            <c:numRef>
              <c:f>(RESULTATS!$C$27,RESULTATS!$C$32)</c:f>
              <c:numCache>
                <c:formatCode>#,##0\ "€"</c:formatCode>
                <c:ptCount val="2"/>
                <c:pt idx="0">
                  <c:v>4741760.3192785773</c:v>
                </c:pt>
                <c:pt idx="1">
                  <c:v>434365.84663031553</c:v>
                </c:pt>
              </c:numCache>
            </c:numRef>
          </c:val>
        </c:ser>
        <c:dLbls>
          <c:showLegendKey val="0"/>
          <c:showVal val="0"/>
          <c:showCatName val="1"/>
          <c:showSerName val="0"/>
          <c:showPercent val="1"/>
          <c:showBubbleSize val="0"/>
          <c:showLeaderLines val="1"/>
        </c:dLbls>
      </c:pie3DChart>
    </c:plotArea>
    <c:legend>
      <c:legendPos val="r"/>
      <c:layout>
        <c:manualLayout>
          <c:xMode val="edge"/>
          <c:yMode val="edge"/>
          <c:x val="0.72528349612746768"/>
          <c:y val="0.12808825866569926"/>
          <c:w val="0.25360984168756912"/>
          <c:h val="0.27819290221042303"/>
        </c:manualLayout>
      </c:layout>
      <c:overlay val="0"/>
    </c:legend>
    <c:plotVisOnly val="1"/>
    <c:dispBlanksAs val="gap"/>
    <c:showDLblsOverMax val="0"/>
  </c:chart>
  <c:spPr>
    <a:effectLst/>
    <a:scene3d>
      <a:camera prst="orthographicFront"/>
      <a:lightRig rig="threePt" dir="t"/>
    </a:scene3d>
    <a:sp3d/>
  </c:sp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29"/>
    </mc:Choice>
    <mc:Fallback>
      <c:style val="29"/>
    </mc:Fallback>
  </mc:AlternateContent>
  <c:chart>
    <c:title>
      <c:tx>
        <c:strRef>
          <c:f>RESULTATS!$E$17</c:f>
          <c:strCache>
            <c:ptCount val="1"/>
            <c:pt idx="0">
              <c:v>COUT GLOBAL décomposé Bailleur/Locataire - PROJET 2</c:v>
            </c:pt>
          </c:strCache>
        </c:strRef>
      </c:tx>
      <c:layout/>
      <c:overlay val="0"/>
      <c:txPr>
        <a:bodyPr/>
        <a:lstStyle/>
        <a:p>
          <a:pPr>
            <a:defRPr sz="1200"/>
          </a:pPr>
          <a:endParaRPr lang="fr-FR"/>
        </a:p>
      </c:txPr>
    </c:title>
    <c:autoTitleDeleted val="0"/>
    <c:view3D>
      <c:rotX val="90"/>
      <c:rotY val="0"/>
      <c:rAngAx val="0"/>
      <c:perspective val="180"/>
    </c:view3D>
    <c:floor>
      <c:thickness val="0"/>
    </c:floor>
    <c:sideWall>
      <c:thickness val="0"/>
    </c:sideWall>
    <c:backWall>
      <c:thickness val="0"/>
    </c:backWall>
    <c:plotArea>
      <c:layout>
        <c:manualLayout>
          <c:layoutTarget val="inner"/>
          <c:xMode val="edge"/>
          <c:yMode val="edge"/>
          <c:x val="7.0138117788079496E-3"/>
          <c:y val="0.10581336634360501"/>
          <c:w val="0.94285785511810694"/>
          <c:h val="0.86352952852399967"/>
        </c:manualLayout>
      </c:layout>
      <c:pie3DChart>
        <c:varyColors val="1"/>
        <c:ser>
          <c:idx val="0"/>
          <c:order val="0"/>
          <c:dLbls>
            <c:numFmt formatCode="0.0%" sourceLinked="0"/>
            <c:txPr>
              <a:bodyPr/>
              <a:lstStyle/>
              <a:p>
                <a:pPr>
                  <a:defRPr sz="1200"/>
                </a:pPr>
                <a:endParaRPr lang="fr-FR"/>
              </a:p>
            </c:txPr>
            <c:showLegendKey val="0"/>
            <c:showVal val="0"/>
            <c:showCatName val="0"/>
            <c:showSerName val="0"/>
            <c:showPercent val="1"/>
            <c:showBubbleSize val="0"/>
            <c:showLeaderLines val="1"/>
          </c:dLbls>
          <c:cat>
            <c:strRef>
              <c:f>(RESULTATS!$B$27,RESULTATS!$B$32,RESULTATS!$B$34)</c:f>
              <c:strCache>
                <c:ptCount val="3"/>
                <c:pt idx="0">
                  <c:v>Coût global bailleur sur 40 ans</c:v>
                </c:pt>
                <c:pt idx="1">
                  <c:v>Coût global locataire sur 40 ans</c:v>
                </c:pt>
                <c:pt idx="2">
                  <c:v>Economie par rapport à l'existant</c:v>
                </c:pt>
              </c:strCache>
            </c:strRef>
          </c:cat>
          <c:val>
            <c:numRef>
              <c:f>(RESULTATS!$E$27,RESULTATS!$E$32,RESULTATS!$E$34)</c:f>
              <c:numCache>
                <c:formatCode>#,##0\ "€"</c:formatCode>
                <c:ptCount val="3"/>
                <c:pt idx="0">
                  <c:v>2868070.2360611358</c:v>
                </c:pt>
                <c:pt idx="1">
                  <c:v>411719.8495386804</c:v>
                </c:pt>
                <c:pt idx="2">
                  <c:v>1896336.0803090762</c:v>
                </c:pt>
              </c:numCache>
            </c:numRef>
          </c:val>
        </c:ser>
        <c:dLbls>
          <c:showLegendKey val="0"/>
          <c:showVal val="0"/>
          <c:showCatName val="1"/>
          <c:showSerName val="0"/>
          <c:showPercent val="1"/>
          <c:showBubbleSize val="0"/>
          <c:showLeaderLines val="1"/>
        </c:dLbls>
      </c:pie3DChart>
    </c:plotArea>
    <c:legend>
      <c:legendPos val="r"/>
      <c:layout>
        <c:manualLayout>
          <c:xMode val="edge"/>
          <c:yMode val="edge"/>
          <c:x val="0.72264510573588214"/>
          <c:y val="0.12808825866569926"/>
          <c:w val="0.26943989430047294"/>
          <c:h val="0.31662672543917136"/>
        </c:manualLayout>
      </c:layout>
      <c:overlay val="0"/>
    </c:legend>
    <c:plotVisOnly val="1"/>
    <c:dispBlanksAs val="gap"/>
    <c:showDLblsOverMax val="0"/>
  </c:chart>
  <c:spPr>
    <a:effectLst/>
  </c:spPr>
  <c:printSettings>
    <c:headerFooter/>
    <c:pageMargins b="0.75" l="0.7" r="0.7" t="0.75" header="0.3" footer="0.3"/>
    <c:pageSetup orientation="portrait"/>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sheetPr>
    <tabColor theme="7"/>
  </sheetPr>
  <sheetViews>
    <sheetView zoomScale="70" workbookViewId="0"/>
  </sheetViews>
  <sheetProtection password="C434" content="1" objects="1"/>
  <pageMargins left="0.23622047244094491" right="0.23622047244094491" top="0.74803149606299213" bottom="0.74803149606299213" header="0.31496062992125984" footer="0.31496062992125984"/>
  <pageSetup paperSize="8" orientation="landscape" r:id="rId1"/>
  <headerFooter>
    <oddHeader>&amp;R&amp;D</oddHeader>
    <oddFooter>&amp;L&amp;F / &amp;A&amp;R&amp;P / &amp;N</oddFooter>
  </headerFooter>
  <drawing r:id="rId2"/>
</chartsheet>
</file>

<file path=xl/chartsheets/sheet2.xml><?xml version="1.0" encoding="utf-8"?>
<chartsheet xmlns="http://schemas.openxmlformats.org/spreadsheetml/2006/main" xmlns:r="http://schemas.openxmlformats.org/officeDocument/2006/relationships">
  <sheetPr>
    <tabColor theme="7"/>
  </sheetPr>
  <sheetViews>
    <sheetView zoomScale="85" workbookViewId="0"/>
  </sheetViews>
  <sheetProtection password="C434" content="1" objects="1"/>
  <pageMargins left="0.23622047244094491" right="0.23622047244094491" top="0.74803149606299213" bottom="0.74803149606299213" header="0.31496062992125984" footer="0.31496062992125984"/>
  <pageSetup paperSize="9" orientation="portrait" r:id="rId1"/>
  <headerFooter>
    <oddHeader>&amp;R&amp;D</oddHeader>
    <oddFooter>&amp;L&amp;F / &amp;A&amp;R&amp;P / &amp;N</oddFooter>
  </headerFooter>
  <drawing r:id="rId2"/>
</chartsheet>
</file>

<file path=xl/chartsheets/sheet3.xml><?xml version="1.0" encoding="utf-8"?>
<chartsheet xmlns="http://schemas.openxmlformats.org/spreadsheetml/2006/main" xmlns:r="http://schemas.openxmlformats.org/officeDocument/2006/relationships">
  <sheetPr>
    <tabColor theme="7"/>
  </sheetPr>
  <sheetViews>
    <sheetView zoomScale="85" workbookViewId="0"/>
  </sheetViews>
  <sheetProtection password="C434" content="1" objects="1"/>
  <pageMargins left="0.23622047244094491" right="0.23622047244094491" top="0.74803149606299213" bottom="0.74803149606299213" header="0.31496062992125984" footer="0.31496062992125984"/>
  <pageSetup paperSize="9" orientation="portrait" r:id="rId1"/>
  <headerFooter>
    <oddHeader>&amp;R&amp;D</oddHeader>
    <oddFooter>&amp;L&amp;F / &amp;A&amp;R&amp;P / &amp;N</oddFooter>
  </headerFooter>
  <drawing r:id="rId2"/>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15</xdr:row>
      <xdr:rowOff>219075</xdr:rowOff>
    </xdr:from>
    <xdr:to>
      <xdr:col>1</xdr:col>
      <xdr:colOff>962025</xdr:colOff>
      <xdr:row>17</xdr:row>
      <xdr:rowOff>133350</xdr:rowOff>
    </xdr:to>
    <xdr:pic>
      <xdr:nvPicPr>
        <xdr:cNvPr id="2" name="Picture 2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590925"/>
          <a:ext cx="838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123825</xdr:colOff>
      <xdr:row>20</xdr:row>
      <xdr:rowOff>590550</xdr:rowOff>
    </xdr:from>
    <xdr:to>
      <xdr:col>1</xdr:col>
      <xdr:colOff>962025</xdr:colOff>
      <xdr:row>20</xdr:row>
      <xdr:rowOff>885825</xdr:rowOff>
    </xdr:to>
    <xdr:pic>
      <xdr:nvPicPr>
        <xdr:cNvPr id="3" name="Picture 2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5638800"/>
          <a:ext cx="838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123825</xdr:colOff>
      <xdr:row>15</xdr:row>
      <xdr:rowOff>219075</xdr:rowOff>
    </xdr:from>
    <xdr:to>
      <xdr:col>1</xdr:col>
      <xdr:colOff>962025</xdr:colOff>
      <xdr:row>17</xdr:row>
      <xdr:rowOff>133350</xdr:rowOff>
    </xdr:to>
    <xdr:pic>
      <xdr:nvPicPr>
        <xdr:cNvPr id="5" name="Picture 2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628900"/>
          <a:ext cx="838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123825</xdr:colOff>
      <xdr:row>20</xdr:row>
      <xdr:rowOff>590550</xdr:rowOff>
    </xdr:from>
    <xdr:to>
      <xdr:col>1</xdr:col>
      <xdr:colOff>962025</xdr:colOff>
      <xdr:row>20</xdr:row>
      <xdr:rowOff>885825</xdr:rowOff>
    </xdr:to>
    <xdr:pic>
      <xdr:nvPicPr>
        <xdr:cNvPr id="6" name="Picture 2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4657725"/>
          <a:ext cx="838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940615</xdr:colOff>
      <xdr:row>19</xdr:row>
      <xdr:rowOff>313426</xdr:rowOff>
    </xdr:from>
    <xdr:to>
      <xdr:col>3</xdr:col>
      <xdr:colOff>1790701</xdr:colOff>
      <xdr:row>19</xdr:row>
      <xdr:rowOff>675990</xdr:rowOff>
    </xdr:to>
    <xdr:pic>
      <xdr:nvPicPr>
        <xdr:cNvPr id="7" name="Imag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2540" y="3428101"/>
          <a:ext cx="2917011" cy="362564"/>
        </a:xfrm>
        <a:prstGeom prst="rect">
          <a:avLst/>
        </a:prstGeom>
      </xdr:spPr>
    </xdr:pic>
    <xdr:clientData/>
  </xdr:twoCellAnchor>
  <xdr:twoCellAnchor editAs="oneCell">
    <xdr:from>
      <xdr:col>2</xdr:col>
      <xdr:colOff>0</xdr:colOff>
      <xdr:row>54</xdr:row>
      <xdr:rowOff>1</xdr:rowOff>
    </xdr:from>
    <xdr:to>
      <xdr:col>4</xdr:col>
      <xdr:colOff>129886</xdr:colOff>
      <xdr:row>59</xdr:row>
      <xdr:rowOff>129757</xdr:rowOff>
    </xdr:to>
    <xdr:pic>
      <xdr:nvPicPr>
        <xdr:cNvPr id="8" name="Imag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0" y="11449051"/>
          <a:ext cx="4006561" cy="939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14546036" cy="9184821"/>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0.00116</cdr:x>
      <cdr:y>0.00193</cdr:y>
    </cdr:from>
    <cdr:to>
      <cdr:x>0.3333</cdr:x>
      <cdr:y>0.32811</cdr:y>
    </cdr:to>
    <cdr:graphicFrame macro="">
      <cdr:nvGraphicFramePr>
        <cdr:cNvPr id="11"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0.00201</cdr:x>
      <cdr:y>0.67281</cdr:y>
    </cdr:from>
    <cdr:to>
      <cdr:x>0.33409</cdr:x>
      <cdr:y>0.99828</cdr:y>
    </cdr:to>
    <cdr:graphicFrame macro="">
      <cdr:nvGraphicFramePr>
        <cdr:cNvPr id="13" name="Graphique 8"/>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0.00297</cdr:x>
      <cdr:y>0.3378</cdr:y>
    </cdr:from>
    <cdr:to>
      <cdr:x>0.33376</cdr:x>
      <cdr:y>0.66288</cdr:y>
    </cdr:to>
    <cdr:graphicFrame macro="">
      <cdr:nvGraphicFramePr>
        <cdr:cNvPr id="31" name="Graphique 7"/>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dr:relSizeAnchor xmlns:cdr="http://schemas.openxmlformats.org/drawingml/2006/chartDrawing">
    <cdr:from>
      <cdr:x>0.66729</cdr:x>
      <cdr:y>0.00359</cdr:y>
    </cdr:from>
    <cdr:to>
      <cdr:x>0.99702</cdr:x>
      <cdr:y>0.32485</cdr:y>
    </cdr:to>
    <cdr:graphicFrame macro="">
      <cdr:nvGraphicFramePr>
        <cdr:cNvPr id="36"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4"/>
        </a:graphicData>
      </a:graphic>
    </cdr:graphicFrame>
  </cdr:relSizeAnchor>
  <cdr:relSizeAnchor xmlns:cdr="http://schemas.openxmlformats.org/drawingml/2006/chartDrawing">
    <cdr:from>
      <cdr:x>0.67027</cdr:x>
      <cdr:y>0.33755</cdr:y>
    </cdr:from>
    <cdr:to>
      <cdr:x>1</cdr:x>
      <cdr:y>0.65881</cdr:y>
    </cdr:to>
    <cdr:graphicFrame macro="">
      <cdr:nvGraphicFramePr>
        <cdr:cNvPr id="37"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5"/>
        </a:graphicData>
      </a:graphic>
    </cdr:graphicFrame>
  </cdr:relSizeAnchor>
  <cdr:relSizeAnchor xmlns:cdr="http://schemas.openxmlformats.org/drawingml/2006/chartDrawing">
    <cdr:from>
      <cdr:x>0.67027</cdr:x>
      <cdr:y>0.66992</cdr:y>
    </cdr:from>
    <cdr:to>
      <cdr:x>1</cdr:x>
      <cdr:y>0.99118</cdr:y>
    </cdr:to>
    <cdr:graphicFrame macro="">
      <cdr:nvGraphicFramePr>
        <cdr:cNvPr id="38"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6"/>
        </a:graphicData>
      </a:graphic>
    </cdr:graphicFrame>
  </cdr:relSizeAnchor>
  <cdr:relSizeAnchor xmlns:cdr="http://schemas.openxmlformats.org/drawingml/2006/chartDrawing">
    <cdr:from>
      <cdr:x>0.33512</cdr:x>
      <cdr:y>0.00224</cdr:y>
    </cdr:from>
    <cdr:to>
      <cdr:x>0.6653</cdr:x>
      <cdr:y>0.32603</cdr:y>
    </cdr:to>
    <cdr:graphicFrame macro="">
      <cdr:nvGraphicFramePr>
        <cdr:cNvPr id="39"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7"/>
        </a:graphicData>
      </a:graphic>
    </cdr:graphicFrame>
  </cdr:relSizeAnchor>
  <cdr:relSizeAnchor xmlns:cdr="http://schemas.openxmlformats.org/drawingml/2006/chartDrawing">
    <cdr:from>
      <cdr:x>0.33572</cdr:x>
      <cdr:y>0.67134</cdr:y>
    </cdr:from>
    <cdr:to>
      <cdr:x>0.6659</cdr:x>
      <cdr:y>0.99513</cdr:y>
    </cdr:to>
    <cdr:graphicFrame macro="">
      <cdr:nvGraphicFramePr>
        <cdr:cNvPr id="40"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8"/>
        </a:graphicData>
      </a:graphic>
    </cdr:graphicFrame>
  </cdr:relSizeAnchor>
  <cdr:relSizeAnchor xmlns:cdr="http://schemas.openxmlformats.org/drawingml/2006/chartDrawing">
    <cdr:from>
      <cdr:x>0.33726</cdr:x>
      <cdr:y>0.33801</cdr:y>
    </cdr:from>
    <cdr:to>
      <cdr:x>0.66744</cdr:x>
      <cdr:y>0.6618</cdr:y>
    </cdr:to>
    <cdr:graphicFrame macro="">
      <cdr:nvGraphicFramePr>
        <cdr:cNvPr id="41"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9"/>
        </a:graphicData>
      </a:graphic>
    </cdr:graphicFrame>
  </cdr:relSizeAnchor>
</c:userShapes>
</file>

<file path=xl/drawings/drawing4.xml><?xml version="1.0" encoding="utf-8"?>
<xdr:wsDr xmlns:xdr="http://schemas.openxmlformats.org/drawingml/2006/spreadsheetDrawing" xmlns:a="http://schemas.openxmlformats.org/drawingml/2006/main">
  <xdr:absoluteAnchor>
    <xdr:pos x="0" y="0"/>
    <xdr:ext cx="7026088" cy="9211235"/>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0.67275</cdr:y>
    </cdr:from>
    <cdr:to>
      <cdr:x>1</cdr:x>
      <cdr:y>0.9927</cdr:y>
    </cdr:to>
    <cdr:graphicFrame macro="">
      <cdr:nvGraphicFramePr>
        <cdr:cNvPr id="11"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cdr:x>
      <cdr:y>0.33577</cdr:y>
    </cdr:from>
    <cdr:to>
      <cdr:x>1</cdr:x>
      <cdr:y>0.66545</cdr:y>
    </cdr:to>
    <cdr:graphicFrame macro="">
      <cdr:nvGraphicFramePr>
        <cdr:cNvPr id="13" name="Graphique 8"/>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0.00159</cdr:x>
      <cdr:y>0.00359</cdr:y>
    </cdr:from>
    <cdr:to>
      <cdr:x>1</cdr:x>
      <cdr:y>0.32847</cdr:y>
    </cdr:to>
    <cdr:graphicFrame macro="">
      <cdr:nvGraphicFramePr>
        <cdr:cNvPr id="31" name="Graphique 7"/>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userShapes>
</file>

<file path=xl/drawings/drawing6.xml><?xml version="1.0" encoding="utf-8"?>
<xdr:wsDr xmlns:xdr="http://schemas.openxmlformats.org/drawingml/2006/spreadsheetDrawing" xmlns:a="http://schemas.openxmlformats.org/drawingml/2006/main">
  <xdr:absoluteAnchor>
    <xdr:pos x="0" y="0"/>
    <xdr:ext cx="7007679" cy="9184821"/>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0.5068</cdr:x>
      <cdr:y>0.00359</cdr:y>
    </cdr:from>
    <cdr:to>
      <cdr:x>0.99702</cdr:x>
      <cdr:y>0.33037</cdr:y>
    </cdr:to>
    <cdr:graphicFrame macro="">
      <cdr:nvGraphicFramePr>
        <cdr:cNvPr id="36"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0.50919</cdr:x>
      <cdr:y>0.33185</cdr:y>
    </cdr:from>
    <cdr:to>
      <cdr:x>1</cdr:x>
      <cdr:y>0.65881</cdr:y>
    </cdr:to>
    <cdr:graphicFrame macro="">
      <cdr:nvGraphicFramePr>
        <cdr:cNvPr id="37"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0.51068</cdr:x>
      <cdr:y>0.66222</cdr:y>
    </cdr:from>
    <cdr:to>
      <cdr:x>1</cdr:x>
      <cdr:y>0.99118</cdr:y>
    </cdr:to>
    <cdr:graphicFrame macro="">
      <cdr:nvGraphicFramePr>
        <cdr:cNvPr id="38" name="Graphique 9"/>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dr:relSizeAnchor xmlns:cdr="http://schemas.openxmlformats.org/drawingml/2006/chartDrawing">
    <cdr:from>
      <cdr:x>0.00582</cdr:x>
      <cdr:y>0.00319</cdr:y>
    </cdr:from>
    <cdr:to>
      <cdr:x>0.49978</cdr:x>
      <cdr:y>0.33051</cdr:y>
    </cdr:to>
    <cdr:graphicFrame macro="">
      <cdr:nvGraphicFramePr>
        <cdr:cNvPr id="39"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4"/>
        </a:graphicData>
      </a:graphic>
    </cdr:graphicFrame>
  </cdr:relSizeAnchor>
  <cdr:relSizeAnchor xmlns:cdr="http://schemas.openxmlformats.org/drawingml/2006/chartDrawing">
    <cdr:from>
      <cdr:x>0.00836</cdr:x>
      <cdr:y>0.6645</cdr:y>
    </cdr:from>
    <cdr:to>
      <cdr:x>0.50291</cdr:x>
      <cdr:y>0.98932</cdr:y>
    </cdr:to>
    <cdr:graphicFrame macro="">
      <cdr:nvGraphicFramePr>
        <cdr:cNvPr id="40"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5"/>
        </a:graphicData>
      </a:graphic>
    </cdr:graphicFrame>
  </cdr:relSizeAnchor>
  <cdr:relSizeAnchor xmlns:cdr="http://schemas.openxmlformats.org/drawingml/2006/chartDrawing">
    <cdr:from>
      <cdr:x>0.00836</cdr:x>
      <cdr:y>0.33265</cdr:y>
    </cdr:from>
    <cdr:to>
      <cdr:x>0.50097</cdr:x>
      <cdr:y>0.65884</cdr:y>
    </cdr:to>
    <cdr:graphicFrame macro="">
      <cdr:nvGraphicFramePr>
        <cdr:cNvPr id="41" name="Graphique 12"/>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6"/>
        </a:graphicData>
      </a:graphic>
    </cdr:graphicFrame>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nvirobatbdm.eu/" TargetMode="External"/><Relationship Id="rId1" Type="http://schemas.openxmlformats.org/officeDocument/2006/relationships/hyperlink" Target="http://creativecommons.org/licenses/by-nc-nd/2.0/fr/legalcod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9"/>
  <sheetViews>
    <sheetView showGridLines="0" showZeros="0" tabSelected="1" zoomScaleNormal="100" workbookViewId="0">
      <selection activeCell="A13" sqref="A13"/>
    </sheetView>
  </sheetViews>
  <sheetFormatPr baseColWidth="10" defaultColWidth="11.25" defaultRowHeight="12.75" x14ac:dyDescent="0.2"/>
  <cols>
    <col min="1" max="1" width="2.375" style="253" customWidth="1"/>
    <col min="2" max="2" width="14.75" style="253" customWidth="1"/>
    <col min="3" max="3" width="16.25" style="253" customWidth="1"/>
    <col min="4" max="4" width="41.875" style="794" customWidth="1"/>
    <col min="5" max="5" width="50.375" style="794" customWidth="1"/>
    <col min="6" max="6" width="2.375" style="253" customWidth="1"/>
    <col min="7" max="7" width="8.375" style="253" customWidth="1"/>
    <col min="8" max="256" width="11.25" style="253"/>
    <col min="257" max="257" width="2" style="253" customWidth="1"/>
    <col min="258" max="258" width="14.75" style="253" customWidth="1"/>
    <col min="259" max="259" width="16.25" style="253" customWidth="1"/>
    <col min="260" max="260" width="41.875" style="253" customWidth="1"/>
    <col min="261" max="261" width="41.375" style="253" customWidth="1"/>
    <col min="262" max="262" width="10.875" style="253" customWidth="1"/>
    <col min="263" max="263" width="11.25" style="253" customWidth="1"/>
    <col min="264" max="512" width="11.25" style="253"/>
    <col min="513" max="513" width="2" style="253" customWidth="1"/>
    <col min="514" max="514" width="14.75" style="253" customWidth="1"/>
    <col min="515" max="515" width="16.25" style="253" customWidth="1"/>
    <col min="516" max="516" width="41.875" style="253" customWidth="1"/>
    <col min="517" max="517" width="41.375" style="253" customWidth="1"/>
    <col min="518" max="518" width="10.875" style="253" customWidth="1"/>
    <col min="519" max="519" width="11.25" style="253" customWidth="1"/>
    <col min="520" max="768" width="11.25" style="253"/>
    <col min="769" max="769" width="2" style="253" customWidth="1"/>
    <col min="770" max="770" width="14.75" style="253" customWidth="1"/>
    <col min="771" max="771" width="16.25" style="253" customWidth="1"/>
    <col min="772" max="772" width="41.875" style="253" customWidth="1"/>
    <col min="773" max="773" width="41.375" style="253" customWidth="1"/>
    <col min="774" max="774" width="10.875" style="253" customWidth="1"/>
    <col min="775" max="775" width="11.25" style="253" customWidth="1"/>
    <col min="776" max="1024" width="11.25" style="253"/>
    <col min="1025" max="1025" width="2" style="253" customWidth="1"/>
    <col min="1026" max="1026" width="14.75" style="253" customWidth="1"/>
    <col min="1027" max="1027" width="16.25" style="253" customWidth="1"/>
    <col min="1028" max="1028" width="41.875" style="253" customWidth="1"/>
    <col min="1029" max="1029" width="41.375" style="253" customWidth="1"/>
    <col min="1030" max="1030" width="10.875" style="253" customWidth="1"/>
    <col min="1031" max="1031" width="11.25" style="253" customWidth="1"/>
    <col min="1032" max="1280" width="11.25" style="253"/>
    <col min="1281" max="1281" width="2" style="253" customWidth="1"/>
    <col min="1282" max="1282" width="14.75" style="253" customWidth="1"/>
    <col min="1283" max="1283" width="16.25" style="253" customWidth="1"/>
    <col min="1284" max="1284" width="41.875" style="253" customWidth="1"/>
    <col min="1285" max="1285" width="41.375" style="253" customWidth="1"/>
    <col min="1286" max="1286" width="10.875" style="253" customWidth="1"/>
    <col min="1287" max="1287" width="11.25" style="253" customWidth="1"/>
    <col min="1288" max="1536" width="11.25" style="253"/>
    <col min="1537" max="1537" width="2" style="253" customWidth="1"/>
    <col min="1538" max="1538" width="14.75" style="253" customWidth="1"/>
    <col min="1539" max="1539" width="16.25" style="253" customWidth="1"/>
    <col min="1540" max="1540" width="41.875" style="253" customWidth="1"/>
    <col min="1541" max="1541" width="41.375" style="253" customWidth="1"/>
    <col min="1542" max="1542" width="10.875" style="253" customWidth="1"/>
    <col min="1543" max="1543" width="11.25" style="253" customWidth="1"/>
    <col min="1544" max="1792" width="11.25" style="253"/>
    <col min="1793" max="1793" width="2" style="253" customWidth="1"/>
    <col min="1794" max="1794" width="14.75" style="253" customWidth="1"/>
    <col min="1795" max="1795" width="16.25" style="253" customWidth="1"/>
    <col min="1796" max="1796" width="41.875" style="253" customWidth="1"/>
    <col min="1797" max="1797" width="41.375" style="253" customWidth="1"/>
    <col min="1798" max="1798" width="10.875" style="253" customWidth="1"/>
    <col min="1799" max="1799" width="11.25" style="253" customWidth="1"/>
    <col min="1800" max="2048" width="11.25" style="253"/>
    <col min="2049" max="2049" width="2" style="253" customWidth="1"/>
    <col min="2050" max="2050" width="14.75" style="253" customWidth="1"/>
    <col min="2051" max="2051" width="16.25" style="253" customWidth="1"/>
    <col min="2052" max="2052" width="41.875" style="253" customWidth="1"/>
    <col min="2053" max="2053" width="41.375" style="253" customWidth="1"/>
    <col min="2054" max="2054" width="10.875" style="253" customWidth="1"/>
    <col min="2055" max="2055" width="11.25" style="253" customWidth="1"/>
    <col min="2056" max="2304" width="11.25" style="253"/>
    <col min="2305" max="2305" width="2" style="253" customWidth="1"/>
    <col min="2306" max="2306" width="14.75" style="253" customWidth="1"/>
    <col min="2307" max="2307" width="16.25" style="253" customWidth="1"/>
    <col min="2308" max="2308" width="41.875" style="253" customWidth="1"/>
    <col min="2309" max="2309" width="41.375" style="253" customWidth="1"/>
    <col min="2310" max="2310" width="10.875" style="253" customWidth="1"/>
    <col min="2311" max="2311" width="11.25" style="253" customWidth="1"/>
    <col min="2312" max="2560" width="11.25" style="253"/>
    <col min="2561" max="2561" width="2" style="253" customWidth="1"/>
    <col min="2562" max="2562" width="14.75" style="253" customWidth="1"/>
    <col min="2563" max="2563" width="16.25" style="253" customWidth="1"/>
    <col min="2564" max="2564" width="41.875" style="253" customWidth="1"/>
    <col min="2565" max="2565" width="41.375" style="253" customWidth="1"/>
    <col min="2566" max="2566" width="10.875" style="253" customWidth="1"/>
    <col min="2567" max="2567" width="11.25" style="253" customWidth="1"/>
    <col min="2568" max="2816" width="11.25" style="253"/>
    <col min="2817" max="2817" width="2" style="253" customWidth="1"/>
    <col min="2818" max="2818" width="14.75" style="253" customWidth="1"/>
    <col min="2819" max="2819" width="16.25" style="253" customWidth="1"/>
    <col min="2820" max="2820" width="41.875" style="253" customWidth="1"/>
    <col min="2821" max="2821" width="41.375" style="253" customWidth="1"/>
    <col min="2822" max="2822" width="10.875" style="253" customWidth="1"/>
    <col min="2823" max="2823" width="11.25" style="253" customWidth="1"/>
    <col min="2824" max="3072" width="11.25" style="253"/>
    <col min="3073" max="3073" width="2" style="253" customWidth="1"/>
    <col min="3074" max="3074" width="14.75" style="253" customWidth="1"/>
    <col min="3075" max="3075" width="16.25" style="253" customWidth="1"/>
    <col min="3076" max="3076" width="41.875" style="253" customWidth="1"/>
    <col min="3077" max="3077" width="41.375" style="253" customWidth="1"/>
    <col min="3078" max="3078" width="10.875" style="253" customWidth="1"/>
    <col min="3079" max="3079" width="11.25" style="253" customWidth="1"/>
    <col min="3080" max="3328" width="11.25" style="253"/>
    <col min="3329" max="3329" width="2" style="253" customWidth="1"/>
    <col min="3330" max="3330" width="14.75" style="253" customWidth="1"/>
    <col min="3331" max="3331" width="16.25" style="253" customWidth="1"/>
    <col min="3332" max="3332" width="41.875" style="253" customWidth="1"/>
    <col min="3333" max="3333" width="41.375" style="253" customWidth="1"/>
    <col min="3334" max="3334" width="10.875" style="253" customWidth="1"/>
    <col min="3335" max="3335" width="11.25" style="253" customWidth="1"/>
    <col min="3336" max="3584" width="11.25" style="253"/>
    <col min="3585" max="3585" width="2" style="253" customWidth="1"/>
    <col min="3586" max="3586" width="14.75" style="253" customWidth="1"/>
    <col min="3587" max="3587" width="16.25" style="253" customWidth="1"/>
    <col min="3588" max="3588" width="41.875" style="253" customWidth="1"/>
    <col min="3589" max="3589" width="41.375" style="253" customWidth="1"/>
    <col min="3590" max="3590" width="10.875" style="253" customWidth="1"/>
    <col min="3591" max="3591" width="11.25" style="253" customWidth="1"/>
    <col min="3592" max="3840" width="11.25" style="253"/>
    <col min="3841" max="3841" width="2" style="253" customWidth="1"/>
    <col min="3842" max="3842" width="14.75" style="253" customWidth="1"/>
    <col min="3843" max="3843" width="16.25" style="253" customWidth="1"/>
    <col min="3844" max="3844" width="41.875" style="253" customWidth="1"/>
    <col min="3845" max="3845" width="41.375" style="253" customWidth="1"/>
    <col min="3846" max="3846" width="10.875" style="253" customWidth="1"/>
    <col min="3847" max="3847" width="11.25" style="253" customWidth="1"/>
    <col min="3848" max="4096" width="11.25" style="253"/>
    <col min="4097" max="4097" width="2" style="253" customWidth="1"/>
    <col min="4098" max="4098" width="14.75" style="253" customWidth="1"/>
    <col min="4099" max="4099" width="16.25" style="253" customWidth="1"/>
    <col min="4100" max="4100" width="41.875" style="253" customWidth="1"/>
    <col min="4101" max="4101" width="41.375" style="253" customWidth="1"/>
    <col min="4102" max="4102" width="10.875" style="253" customWidth="1"/>
    <col min="4103" max="4103" width="11.25" style="253" customWidth="1"/>
    <col min="4104" max="4352" width="11.25" style="253"/>
    <col min="4353" max="4353" width="2" style="253" customWidth="1"/>
    <col min="4354" max="4354" width="14.75" style="253" customWidth="1"/>
    <col min="4355" max="4355" width="16.25" style="253" customWidth="1"/>
    <col min="4356" max="4356" width="41.875" style="253" customWidth="1"/>
    <col min="4357" max="4357" width="41.375" style="253" customWidth="1"/>
    <col min="4358" max="4358" width="10.875" style="253" customWidth="1"/>
    <col min="4359" max="4359" width="11.25" style="253" customWidth="1"/>
    <col min="4360" max="4608" width="11.25" style="253"/>
    <col min="4609" max="4609" width="2" style="253" customWidth="1"/>
    <col min="4610" max="4610" width="14.75" style="253" customWidth="1"/>
    <col min="4611" max="4611" width="16.25" style="253" customWidth="1"/>
    <col min="4612" max="4612" width="41.875" style="253" customWidth="1"/>
    <col min="4613" max="4613" width="41.375" style="253" customWidth="1"/>
    <col min="4614" max="4614" width="10.875" style="253" customWidth="1"/>
    <col min="4615" max="4615" width="11.25" style="253" customWidth="1"/>
    <col min="4616" max="4864" width="11.25" style="253"/>
    <col min="4865" max="4865" width="2" style="253" customWidth="1"/>
    <col min="4866" max="4866" width="14.75" style="253" customWidth="1"/>
    <col min="4867" max="4867" width="16.25" style="253" customWidth="1"/>
    <col min="4868" max="4868" width="41.875" style="253" customWidth="1"/>
    <col min="4869" max="4869" width="41.375" style="253" customWidth="1"/>
    <col min="4870" max="4870" width="10.875" style="253" customWidth="1"/>
    <col min="4871" max="4871" width="11.25" style="253" customWidth="1"/>
    <col min="4872" max="5120" width="11.25" style="253"/>
    <col min="5121" max="5121" width="2" style="253" customWidth="1"/>
    <col min="5122" max="5122" width="14.75" style="253" customWidth="1"/>
    <col min="5123" max="5123" width="16.25" style="253" customWidth="1"/>
    <col min="5124" max="5124" width="41.875" style="253" customWidth="1"/>
    <col min="5125" max="5125" width="41.375" style="253" customWidth="1"/>
    <col min="5126" max="5126" width="10.875" style="253" customWidth="1"/>
    <col min="5127" max="5127" width="11.25" style="253" customWidth="1"/>
    <col min="5128" max="5376" width="11.25" style="253"/>
    <col min="5377" max="5377" width="2" style="253" customWidth="1"/>
    <col min="5378" max="5378" width="14.75" style="253" customWidth="1"/>
    <col min="5379" max="5379" width="16.25" style="253" customWidth="1"/>
    <col min="5380" max="5380" width="41.875" style="253" customWidth="1"/>
    <col min="5381" max="5381" width="41.375" style="253" customWidth="1"/>
    <col min="5382" max="5382" width="10.875" style="253" customWidth="1"/>
    <col min="5383" max="5383" width="11.25" style="253" customWidth="1"/>
    <col min="5384" max="5632" width="11.25" style="253"/>
    <col min="5633" max="5633" width="2" style="253" customWidth="1"/>
    <col min="5634" max="5634" width="14.75" style="253" customWidth="1"/>
    <col min="5635" max="5635" width="16.25" style="253" customWidth="1"/>
    <col min="5636" max="5636" width="41.875" style="253" customWidth="1"/>
    <col min="5637" max="5637" width="41.375" style="253" customWidth="1"/>
    <col min="5638" max="5638" width="10.875" style="253" customWidth="1"/>
    <col min="5639" max="5639" width="11.25" style="253" customWidth="1"/>
    <col min="5640" max="5888" width="11.25" style="253"/>
    <col min="5889" max="5889" width="2" style="253" customWidth="1"/>
    <col min="5890" max="5890" width="14.75" style="253" customWidth="1"/>
    <col min="5891" max="5891" width="16.25" style="253" customWidth="1"/>
    <col min="5892" max="5892" width="41.875" style="253" customWidth="1"/>
    <col min="5893" max="5893" width="41.375" style="253" customWidth="1"/>
    <col min="5894" max="5894" width="10.875" style="253" customWidth="1"/>
    <col min="5895" max="5895" width="11.25" style="253" customWidth="1"/>
    <col min="5896" max="6144" width="11.25" style="253"/>
    <col min="6145" max="6145" width="2" style="253" customWidth="1"/>
    <col min="6146" max="6146" width="14.75" style="253" customWidth="1"/>
    <col min="6147" max="6147" width="16.25" style="253" customWidth="1"/>
    <col min="6148" max="6148" width="41.875" style="253" customWidth="1"/>
    <col min="6149" max="6149" width="41.375" style="253" customWidth="1"/>
    <col min="6150" max="6150" width="10.875" style="253" customWidth="1"/>
    <col min="6151" max="6151" width="11.25" style="253" customWidth="1"/>
    <col min="6152" max="6400" width="11.25" style="253"/>
    <col min="6401" max="6401" width="2" style="253" customWidth="1"/>
    <col min="6402" max="6402" width="14.75" style="253" customWidth="1"/>
    <col min="6403" max="6403" width="16.25" style="253" customWidth="1"/>
    <col min="6404" max="6404" width="41.875" style="253" customWidth="1"/>
    <col min="6405" max="6405" width="41.375" style="253" customWidth="1"/>
    <col min="6406" max="6406" width="10.875" style="253" customWidth="1"/>
    <col min="6407" max="6407" width="11.25" style="253" customWidth="1"/>
    <col min="6408" max="6656" width="11.25" style="253"/>
    <col min="6657" max="6657" width="2" style="253" customWidth="1"/>
    <col min="6658" max="6658" width="14.75" style="253" customWidth="1"/>
    <col min="6659" max="6659" width="16.25" style="253" customWidth="1"/>
    <col min="6660" max="6660" width="41.875" style="253" customWidth="1"/>
    <col min="6661" max="6661" width="41.375" style="253" customWidth="1"/>
    <col min="6662" max="6662" width="10.875" style="253" customWidth="1"/>
    <col min="6663" max="6663" width="11.25" style="253" customWidth="1"/>
    <col min="6664" max="6912" width="11.25" style="253"/>
    <col min="6913" max="6913" width="2" style="253" customWidth="1"/>
    <col min="6914" max="6914" width="14.75" style="253" customWidth="1"/>
    <col min="6915" max="6915" width="16.25" style="253" customWidth="1"/>
    <col min="6916" max="6916" width="41.875" style="253" customWidth="1"/>
    <col min="6917" max="6917" width="41.375" style="253" customWidth="1"/>
    <col min="6918" max="6918" width="10.875" style="253" customWidth="1"/>
    <col min="6919" max="6919" width="11.25" style="253" customWidth="1"/>
    <col min="6920" max="7168" width="11.25" style="253"/>
    <col min="7169" max="7169" width="2" style="253" customWidth="1"/>
    <col min="7170" max="7170" width="14.75" style="253" customWidth="1"/>
    <col min="7171" max="7171" width="16.25" style="253" customWidth="1"/>
    <col min="7172" max="7172" width="41.875" style="253" customWidth="1"/>
    <col min="7173" max="7173" width="41.375" style="253" customWidth="1"/>
    <col min="7174" max="7174" width="10.875" style="253" customWidth="1"/>
    <col min="7175" max="7175" width="11.25" style="253" customWidth="1"/>
    <col min="7176" max="7424" width="11.25" style="253"/>
    <col min="7425" max="7425" width="2" style="253" customWidth="1"/>
    <col min="7426" max="7426" width="14.75" style="253" customWidth="1"/>
    <col min="7427" max="7427" width="16.25" style="253" customWidth="1"/>
    <col min="7428" max="7428" width="41.875" style="253" customWidth="1"/>
    <col min="7429" max="7429" width="41.375" style="253" customWidth="1"/>
    <col min="7430" max="7430" width="10.875" style="253" customWidth="1"/>
    <col min="7431" max="7431" width="11.25" style="253" customWidth="1"/>
    <col min="7432" max="7680" width="11.25" style="253"/>
    <col min="7681" max="7681" width="2" style="253" customWidth="1"/>
    <col min="7682" max="7682" width="14.75" style="253" customWidth="1"/>
    <col min="7683" max="7683" width="16.25" style="253" customWidth="1"/>
    <col min="7684" max="7684" width="41.875" style="253" customWidth="1"/>
    <col min="7685" max="7685" width="41.375" style="253" customWidth="1"/>
    <col min="7686" max="7686" width="10.875" style="253" customWidth="1"/>
    <col min="7687" max="7687" width="11.25" style="253" customWidth="1"/>
    <col min="7688" max="7936" width="11.25" style="253"/>
    <col min="7937" max="7937" width="2" style="253" customWidth="1"/>
    <col min="7938" max="7938" width="14.75" style="253" customWidth="1"/>
    <col min="7939" max="7939" width="16.25" style="253" customWidth="1"/>
    <col min="7940" max="7940" width="41.875" style="253" customWidth="1"/>
    <col min="7941" max="7941" width="41.375" style="253" customWidth="1"/>
    <col min="7942" max="7942" width="10.875" style="253" customWidth="1"/>
    <col min="7943" max="7943" width="11.25" style="253" customWidth="1"/>
    <col min="7944" max="8192" width="11.25" style="253"/>
    <col min="8193" max="8193" width="2" style="253" customWidth="1"/>
    <col min="8194" max="8194" width="14.75" style="253" customWidth="1"/>
    <col min="8195" max="8195" width="16.25" style="253" customWidth="1"/>
    <col min="8196" max="8196" width="41.875" style="253" customWidth="1"/>
    <col min="8197" max="8197" width="41.375" style="253" customWidth="1"/>
    <col min="8198" max="8198" width="10.875" style="253" customWidth="1"/>
    <col min="8199" max="8199" width="11.25" style="253" customWidth="1"/>
    <col min="8200" max="8448" width="11.25" style="253"/>
    <col min="8449" max="8449" width="2" style="253" customWidth="1"/>
    <col min="8450" max="8450" width="14.75" style="253" customWidth="1"/>
    <col min="8451" max="8451" width="16.25" style="253" customWidth="1"/>
    <col min="8452" max="8452" width="41.875" style="253" customWidth="1"/>
    <col min="8453" max="8453" width="41.375" style="253" customWidth="1"/>
    <col min="8454" max="8454" width="10.875" style="253" customWidth="1"/>
    <col min="8455" max="8455" width="11.25" style="253" customWidth="1"/>
    <col min="8456" max="8704" width="11.25" style="253"/>
    <col min="8705" max="8705" width="2" style="253" customWidth="1"/>
    <col min="8706" max="8706" width="14.75" style="253" customWidth="1"/>
    <col min="8707" max="8707" width="16.25" style="253" customWidth="1"/>
    <col min="8708" max="8708" width="41.875" style="253" customWidth="1"/>
    <col min="8709" max="8709" width="41.375" style="253" customWidth="1"/>
    <col min="8710" max="8710" width="10.875" style="253" customWidth="1"/>
    <col min="8711" max="8711" width="11.25" style="253" customWidth="1"/>
    <col min="8712" max="8960" width="11.25" style="253"/>
    <col min="8961" max="8961" width="2" style="253" customWidth="1"/>
    <col min="8962" max="8962" width="14.75" style="253" customWidth="1"/>
    <col min="8963" max="8963" width="16.25" style="253" customWidth="1"/>
    <col min="8964" max="8964" width="41.875" style="253" customWidth="1"/>
    <col min="8965" max="8965" width="41.375" style="253" customWidth="1"/>
    <col min="8966" max="8966" width="10.875" style="253" customWidth="1"/>
    <col min="8967" max="8967" width="11.25" style="253" customWidth="1"/>
    <col min="8968" max="9216" width="11.25" style="253"/>
    <col min="9217" max="9217" width="2" style="253" customWidth="1"/>
    <col min="9218" max="9218" width="14.75" style="253" customWidth="1"/>
    <col min="9219" max="9219" width="16.25" style="253" customWidth="1"/>
    <col min="9220" max="9220" width="41.875" style="253" customWidth="1"/>
    <col min="9221" max="9221" width="41.375" style="253" customWidth="1"/>
    <col min="9222" max="9222" width="10.875" style="253" customWidth="1"/>
    <col min="9223" max="9223" width="11.25" style="253" customWidth="1"/>
    <col min="9224" max="9472" width="11.25" style="253"/>
    <col min="9473" max="9473" width="2" style="253" customWidth="1"/>
    <col min="9474" max="9474" width="14.75" style="253" customWidth="1"/>
    <col min="9475" max="9475" width="16.25" style="253" customWidth="1"/>
    <col min="9476" max="9476" width="41.875" style="253" customWidth="1"/>
    <col min="9477" max="9477" width="41.375" style="253" customWidth="1"/>
    <col min="9478" max="9478" width="10.875" style="253" customWidth="1"/>
    <col min="9479" max="9479" width="11.25" style="253" customWidth="1"/>
    <col min="9480" max="9728" width="11.25" style="253"/>
    <col min="9729" max="9729" width="2" style="253" customWidth="1"/>
    <col min="9730" max="9730" width="14.75" style="253" customWidth="1"/>
    <col min="9731" max="9731" width="16.25" style="253" customWidth="1"/>
    <col min="9732" max="9732" width="41.875" style="253" customWidth="1"/>
    <col min="9733" max="9733" width="41.375" style="253" customWidth="1"/>
    <col min="9734" max="9734" width="10.875" style="253" customWidth="1"/>
    <col min="9735" max="9735" width="11.25" style="253" customWidth="1"/>
    <col min="9736" max="9984" width="11.25" style="253"/>
    <col min="9985" max="9985" width="2" style="253" customWidth="1"/>
    <col min="9986" max="9986" width="14.75" style="253" customWidth="1"/>
    <col min="9987" max="9987" width="16.25" style="253" customWidth="1"/>
    <col min="9988" max="9988" width="41.875" style="253" customWidth="1"/>
    <col min="9989" max="9989" width="41.375" style="253" customWidth="1"/>
    <col min="9990" max="9990" width="10.875" style="253" customWidth="1"/>
    <col min="9991" max="9991" width="11.25" style="253" customWidth="1"/>
    <col min="9992" max="10240" width="11.25" style="253"/>
    <col min="10241" max="10241" width="2" style="253" customWidth="1"/>
    <col min="10242" max="10242" width="14.75" style="253" customWidth="1"/>
    <col min="10243" max="10243" width="16.25" style="253" customWidth="1"/>
    <col min="10244" max="10244" width="41.875" style="253" customWidth="1"/>
    <col min="10245" max="10245" width="41.375" style="253" customWidth="1"/>
    <col min="10246" max="10246" width="10.875" style="253" customWidth="1"/>
    <col min="10247" max="10247" width="11.25" style="253" customWidth="1"/>
    <col min="10248" max="10496" width="11.25" style="253"/>
    <col min="10497" max="10497" width="2" style="253" customWidth="1"/>
    <col min="10498" max="10498" width="14.75" style="253" customWidth="1"/>
    <col min="10499" max="10499" width="16.25" style="253" customWidth="1"/>
    <col min="10500" max="10500" width="41.875" style="253" customWidth="1"/>
    <col min="10501" max="10501" width="41.375" style="253" customWidth="1"/>
    <col min="10502" max="10502" width="10.875" style="253" customWidth="1"/>
    <col min="10503" max="10503" width="11.25" style="253" customWidth="1"/>
    <col min="10504" max="10752" width="11.25" style="253"/>
    <col min="10753" max="10753" width="2" style="253" customWidth="1"/>
    <col min="10754" max="10754" width="14.75" style="253" customWidth="1"/>
    <col min="10755" max="10755" width="16.25" style="253" customWidth="1"/>
    <col min="10756" max="10756" width="41.875" style="253" customWidth="1"/>
    <col min="10757" max="10757" width="41.375" style="253" customWidth="1"/>
    <col min="10758" max="10758" width="10.875" style="253" customWidth="1"/>
    <col min="10759" max="10759" width="11.25" style="253" customWidth="1"/>
    <col min="10760" max="11008" width="11.25" style="253"/>
    <col min="11009" max="11009" width="2" style="253" customWidth="1"/>
    <col min="11010" max="11010" width="14.75" style="253" customWidth="1"/>
    <col min="11011" max="11011" width="16.25" style="253" customWidth="1"/>
    <col min="11012" max="11012" width="41.875" style="253" customWidth="1"/>
    <col min="11013" max="11013" width="41.375" style="253" customWidth="1"/>
    <col min="11014" max="11014" width="10.875" style="253" customWidth="1"/>
    <col min="11015" max="11015" width="11.25" style="253" customWidth="1"/>
    <col min="11016" max="11264" width="11.25" style="253"/>
    <col min="11265" max="11265" width="2" style="253" customWidth="1"/>
    <col min="11266" max="11266" width="14.75" style="253" customWidth="1"/>
    <col min="11267" max="11267" width="16.25" style="253" customWidth="1"/>
    <col min="11268" max="11268" width="41.875" style="253" customWidth="1"/>
    <col min="11269" max="11269" width="41.375" style="253" customWidth="1"/>
    <col min="11270" max="11270" width="10.875" style="253" customWidth="1"/>
    <col min="11271" max="11271" width="11.25" style="253" customWidth="1"/>
    <col min="11272" max="11520" width="11.25" style="253"/>
    <col min="11521" max="11521" width="2" style="253" customWidth="1"/>
    <col min="11522" max="11522" width="14.75" style="253" customWidth="1"/>
    <col min="11523" max="11523" width="16.25" style="253" customWidth="1"/>
    <col min="11524" max="11524" width="41.875" style="253" customWidth="1"/>
    <col min="11525" max="11525" width="41.375" style="253" customWidth="1"/>
    <col min="11526" max="11526" width="10.875" style="253" customWidth="1"/>
    <col min="11527" max="11527" width="11.25" style="253" customWidth="1"/>
    <col min="11528" max="11776" width="11.25" style="253"/>
    <col min="11777" max="11777" width="2" style="253" customWidth="1"/>
    <col min="11778" max="11778" width="14.75" style="253" customWidth="1"/>
    <col min="11779" max="11779" width="16.25" style="253" customWidth="1"/>
    <col min="11780" max="11780" width="41.875" style="253" customWidth="1"/>
    <col min="11781" max="11781" width="41.375" style="253" customWidth="1"/>
    <col min="11782" max="11782" width="10.875" style="253" customWidth="1"/>
    <col min="11783" max="11783" width="11.25" style="253" customWidth="1"/>
    <col min="11784" max="12032" width="11.25" style="253"/>
    <col min="12033" max="12033" width="2" style="253" customWidth="1"/>
    <col min="12034" max="12034" width="14.75" style="253" customWidth="1"/>
    <col min="12035" max="12035" width="16.25" style="253" customWidth="1"/>
    <col min="12036" max="12036" width="41.875" style="253" customWidth="1"/>
    <col min="12037" max="12037" width="41.375" style="253" customWidth="1"/>
    <col min="12038" max="12038" width="10.875" style="253" customWidth="1"/>
    <col min="12039" max="12039" width="11.25" style="253" customWidth="1"/>
    <col min="12040" max="12288" width="11.25" style="253"/>
    <col min="12289" max="12289" width="2" style="253" customWidth="1"/>
    <col min="12290" max="12290" width="14.75" style="253" customWidth="1"/>
    <col min="12291" max="12291" width="16.25" style="253" customWidth="1"/>
    <col min="12292" max="12292" width="41.875" style="253" customWidth="1"/>
    <col min="12293" max="12293" width="41.375" style="253" customWidth="1"/>
    <col min="12294" max="12294" width="10.875" style="253" customWidth="1"/>
    <col min="12295" max="12295" width="11.25" style="253" customWidth="1"/>
    <col min="12296" max="12544" width="11.25" style="253"/>
    <col min="12545" max="12545" width="2" style="253" customWidth="1"/>
    <col min="12546" max="12546" width="14.75" style="253" customWidth="1"/>
    <col min="12547" max="12547" width="16.25" style="253" customWidth="1"/>
    <col min="12548" max="12548" width="41.875" style="253" customWidth="1"/>
    <col min="12549" max="12549" width="41.375" style="253" customWidth="1"/>
    <col min="12550" max="12550" width="10.875" style="253" customWidth="1"/>
    <col min="12551" max="12551" width="11.25" style="253" customWidth="1"/>
    <col min="12552" max="12800" width="11.25" style="253"/>
    <col min="12801" max="12801" width="2" style="253" customWidth="1"/>
    <col min="12802" max="12802" width="14.75" style="253" customWidth="1"/>
    <col min="12803" max="12803" width="16.25" style="253" customWidth="1"/>
    <col min="12804" max="12804" width="41.875" style="253" customWidth="1"/>
    <col min="12805" max="12805" width="41.375" style="253" customWidth="1"/>
    <col min="12806" max="12806" width="10.875" style="253" customWidth="1"/>
    <col min="12807" max="12807" width="11.25" style="253" customWidth="1"/>
    <col min="12808" max="13056" width="11.25" style="253"/>
    <col min="13057" max="13057" width="2" style="253" customWidth="1"/>
    <col min="13058" max="13058" width="14.75" style="253" customWidth="1"/>
    <col min="13059" max="13059" width="16.25" style="253" customWidth="1"/>
    <col min="13060" max="13060" width="41.875" style="253" customWidth="1"/>
    <col min="13061" max="13061" width="41.375" style="253" customWidth="1"/>
    <col min="13062" max="13062" width="10.875" style="253" customWidth="1"/>
    <col min="13063" max="13063" width="11.25" style="253" customWidth="1"/>
    <col min="13064" max="13312" width="11.25" style="253"/>
    <col min="13313" max="13313" width="2" style="253" customWidth="1"/>
    <col min="13314" max="13314" width="14.75" style="253" customWidth="1"/>
    <col min="13315" max="13315" width="16.25" style="253" customWidth="1"/>
    <col min="13316" max="13316" width="41.875" style="253" customWidth="1"/>
    <col min="13317" max="13317" width="41.375" style="253" customWidth="1"/>
    <col min="13318" max="13318" width="10.875" style="253" customWidth="1"/>
    <col min="13319" max="13319" width="11.25" style="253" customWidth="1"/>
    <col min="13320" max="13568" width="11.25" style="253"/>
    <col min="13569" max="13569" width="2" style="253" customWidth="1"/>
    <col min="13570" max="13570" width="14.75" style="253" customWidth="1"/>
    <col min="13571" max="13571" width="16.25" style="253" customWidth="1"/>
    <col min="13572" max="13572" width="41.875" style="253" customWidth="1"/>
    <col min="13573" max="13573" width="41.375" style="253" customWidth="1"/>
    <col min="13574" max="13574" width="10.875" style="253" customWidth="1"/>
    <col min="13575" max="13575" width="11.25" style="253" customWidth="1"/>
    <col min="13576" max="13824" width="11.25" style="253"/>
    <col min="13825" max="13825" width="2" style="253" customWidth="1"/>
    <col min="13826" max="13826" width="14.75" style="253" customWidth="1"/>
    <col min="13827" max="13827" width="16.25" style="253" customWidth="1"/>
    <col min="13828" max="13828" width="41.875" style="253" customWidth="1"/>
    <col min="13829" max="13829" width="41.375" style="253" customWidth="1"/>
    <col min="13830" max="13830" width="10.875" style="253" customWidth="1"/>
    <col min="13831" max="13831" width="11.25" style="253" customWidth="1"/>
    <col min="13832" max="14080" width="11.25" style="253"/>
    <col min="14081" max="14081" width="2" style="253" customWidth="1"/>
    <col min="14082" max="14082" width="14.75" style="253" customWidth="1"/>
    <col min="14083" max="14083" width="16.25" style="253" customWidth="1"/>
    <col min="14084" max="14084" width="41.875" style="253" customWidth="1"/>
    <col min="14085" max="14085" width="41.375" style="253" customWidth="1"/>
    <col min="14086" max="14086" width="10.875" style="253" customWidth="1"/>
    <col min="14087" max="14087" width="11.25" style="253" customWidth="1"/>
    <col min="14088" max="14336" width="11.25" style="253"/>
    <col min="14337" max="14337" width="2" style="253" customWidth="1"/>
    <col min="14338" max="14338" width="14.75" style="253" customWidth="1"/>
    <col min="14339" max="14339" width="16.25" style="253" customWidth="1"/>
    <col min="14340" max="14340" width="41.875" style="253" customWidth="1"/>
    <col min="14341" max="14341" width="41.375" style="253" customWidth="1"/>
    <col min="14342" max="14342" width="10.875" style="253" customWidth="1"/>
    <col min="14343" max="14343" width="11.25" style="253" customWidth="1"/>
    <col min="14344" max="14592" width="11.25" style="253"/>
    <col min="14593" max="14593" width="2" style="253" customWidth="1"/>
    <col min="14594" max="14594" width="14.75" style="253" customWidth="1"/>
    <col min="14595" max="14595" width="16.25" style="253" customWidth="1"/>
    <col min="14596" max="14596" width="41.875" style="253" customWidth="1"/>
    <col min="14597" max="14597" width="41.375" style="253" customWidth="1"/>
    <col min="14598" max="14598" width="10.875" style="253" customWidth="1"/>
    <col min="14599" max="14599" width="11.25" style="253" customWidth="1"/>
    <col min="14600" max="14848" width="11.25" style="253"/>
    <col min="14849" max="14849" width="2" style="253" customWidth="1"/>
    <col min="14850" max="14850" width="14.75" style="253" customWidth="1"/>
    <col min="14851" max="14851" width="16.25" style="253" customWidth="1"/>
    <col min="14852" max="14852" width="41.875" style="253" customWidth="1"/>
    <col min="14853" max="14853" width="41.375" style="253" customWidth="1"/>
    <col min="14854" max="14854" width="10.875" style="253" customWidth="1"/>
    <col min="14855" max="14855" width="11.25" style="253" customWidth="1"/>
    <col min="14856" max="15104" width="11.25" style="253"/>
    <col min="15105" max="15105" width="2" style="253" customWidth="1"/>
    <col min="15106" max="15106" width="14.75" style="253" customWidth="1"/>
    <col min="15107" max="15107" width="16.25" style="253" customWidth="1"/>
    <col min="15108" max="15108" width="41.875" style="253" customWidth="1"/>
    <col min="15109" max="15109" width="41.375" style="253" customWidth="1"/>
    <col min="15110" max="15110" width="10.875" style="253" customWidth="1"/>
    <col min="15111" max="15111" width="11.25" style="253" customWidth="1"/>
    <col min="15112" max="15360" width="11.25" style="253"/>
    <col min="15361" max="15361" width="2" style="253" customWidth="1"/>
    <col min="15362" max="15362" width="14.75" style="253" customWidth="1"/>
    <col min="15363" max="15363" width="16.25" style="253" customWidth="1"/>
    <col min="15364" max="15364" width="41.875" style="253" customWidth="1"/>
    <col min="15365" max="15365" width="41.375" style="253" customWidth="1"/>
    <col min="15366" max="15366" width="10.875" style="253" customWidth="1"/>
    <col min="15367" max="15367" width="11.25" style="253" customWidth="1"/>
    <col min="15368" max="15616" width="11.25" style="253"/>
    <col min="15617" max="15617" width="2" style="253" customWidth="1"/>
    <col min="15618" max="15618" width="14.75" style="253" customWidth="1"/>
    <col min="15619" max="15619" width="16.25" style="253" customWidth="1"/>
    <col min="15620" max="15620" width="41.875" style="253" customWidth="1"/>
    <col min="15621" max="15621" width="41.375" style="253" customWidth="1"/>
    <col min="15622" max="15622" width="10.875" style="253" customWidth="1"/>
    <col min="15623" max="15623" width="11.25" style="253" customWidth="1"/>
    <col min="15624" max="15872" width="11.25" style="253"/>
    <col min="15873" max="15873" width="2" style="253" customWidth="1"/>
    <col min="15874" max="15874" width="14.75" style="253" customWidth="1"/>
    <col min="15875" max="15875" width="16.25" style="253" customWidth="1"/>
    <col min="15876" max="15876" width="41.875" style="253" customWidth="1"/>
    <col min="15877" max="15877" width="41.375" style="253" customWidth="1"/>
    <col min="15878" max="15878" width="10.875" style="253" customWidth="1"/>
    <col min="15879" max="15879" width="11.25" style="253" customWidth="1"/>
    <col min="15880" max="16128" width="11.25" style="253"/>
    <col min="16129" max="16129" width="2" style="253" customWidth="1"/>
    <col min="16130" max="16130" width="14.75" style="253" customWidth="1"/>
    <col min="16131" max="16131" width="16.25" style="253" customWidth="1"/>
    <col min="16132" max="16132" width="41.875" style="253" customWidth="1"/>
    <col min="16133" max="16133" width="41.375" style="253" customWidth="1"/>
    <col min="16134" max="16134" width="10.875" style="253" customWidth="1"/>
    <col min="16135" max="16135" width="11.25" style="253" customWidth="1"/>
    <col min="16136" max="16384" width="11.25" style="253"/>
  </cols>
  <sheetData>
    <row r="1" spans="2:7" s="781" customFormat="1" ht="15.75" x14ac:dyDescent="0.2">
      <c r="D1" s="782" t="s">
        <v>769</v>
      </c>
      <c r="E1" s="783"/>
    </row>
    <row r="3" spans="2:7" x14ac:dyDescent="0.2">
      <c r="B3" s="795" t="s">
        <v>537</v>
      </c>
      <c r="D3" s="253"/>
      <c r="E3" s="797" t="s">
        <v>1</v>
      </c>
    </row>
    <row r="4" spans="2:7" x14ac:dyDescent="0.2">
      <c r="E4" s="797"/>
    </row>
    <row r="5" spans="2:7" x14ac:dyDescent="0.2">
      <c r="B5" s="254" t="s">
        <v>0</v>
      </c>
    </row>
    <row r="6" spans="2:7" x14ac:dyDescent="0.2">
      <c r="B6" s="255" t="s">
        <v>770</v>
      </c>
    </row>
    <row r="7" spans="2:7" x14ac:dyDescent="0.2">
      <c r="B7" s="256" t="s">
        <v>2</v>
      </c>
      <c r="C7" s="794"/>
    </row>
    <row r="8" spans="2:7" x14ac:dyDescent="0.2">
      <c r="B8" s="256"/>
      <c r="C8" s="794"/>
    </row>
    <row r="9" spans="2:7" x14ac:dyDescent="0.2">
      <c r="B9" s="257" t="s">
        <v>774</v>
      </c>
      <c r="C9" s="794"/>
      <c r="G9" s="258"/>
    </row>
    <row r="10" spans="2:7" x14ac:dyDescent="0.2">
      <c r="B10" s="259" t="s">
        <v>771</v>
      </c>
      <c r="C10" s="794"/>
      <c r="G10" s="258"/>
    </row>
    <row r="11" spans="2:7" x14ac:dyDescent="0.2">
      <c r="D11" s="253"/>
    </row>
    <row r="12" spans="2:7" x14ac:dyDescent="0.2">
      <c r="B12" s="253" t="s">
        <v>3</v>
      </c>
      <c r="D12" s="253"/>
    </row>
    <row r="13" spans="2:7" x14ac:dyDescent="0.2">
      <c r="B13" s="794" t="s">
        <v>4</v>
      </c>
      <c r="D13" s="253"/>
      <c r="E13" s="260" t="s">
        <v>5</v>
      </c>
    </row>
    <row r="14" spans="2:7" x14ac:dyDescent="0.2">
      <c r="D14" s="253"/>
      <c r="E14" s="253"/>
    </row>
    <row r="15" spans="2:7" x14ac:dyDescent="0.2">
      <c r="C15" s="253" t="s">
        <v>6</v>
      </c>
      <c r="D15" s="253"/>
    </row>
    <row r="16" spans="2:7" x14ac:dyDescent="0.2">
      <c r="C16" s="807" t="s">
        <v>57</v>
      </c>
      <c r="D16" s="808"/>
      <c r="E16" s="809"/>
    </row>
    <row r="17" spans="2:5" x14ac:dyDescent="0.2">
      <c r="C17" s="810" t="s">
        <v>58</v>
      </c>
      <c r="D17" s="811"/>
      <c r="E17" s="812"/>
    </row>
    <row r="18" spans="2:5" x14ac:dyDescent="0.2">
      <c r="C18" s="261" t="s">
        <v>59</v>
      </c>
      <c r="D18" s="262"/>
      <c r="E18" s="798"/>
    </row>
    <row r="19" spans="2:5" x14ac:dyDescent="0.2">
      <c r="D19" s="253"/>
    </row>
    <row r="20" spans="2:5" ht="75" customHeight="1" x14ac:dyDescent="0.2">
      <c r="B20" s="794" t="s">
        <v>7</v>
      </c>
      <c r="C20" s="263"/>
    </row>
    <row r="21" spans="2:5" ht="126.75" customHeight="1" x14ac:dyDescent="0.2">
      <c r="B21" s="799"/>
      <c r="C21" s="813" t="s">
        <v>772</v>
      </c>
      <c r="D21" s="813"/>
      <c r="E21" s="814"/>
    </row>
    <row r="22" spans="2:5" x14ac:dyDescent="0.2">
      <c r="B22" s="261"/>
      <c r="C22" s="264"/>
      <c r="D22" s="800" t="s">
        <v>773</v>
      </c>
      <c r="E22" s="798"/>
    </row>
    <row r="23" spans="2:5" x14ac:dyDescent="0.2">
      <c r="D23" s="253"/>
    </row>
    <row r="24" spans="2:5" x14ac:dyDescent="0.2">
      <c r="B24" s="254" t="s">
        <v>8</v>
      </c>
    </row>
    <row r="25" spans="2:5" x14ac:dyDescent="0.2">
      <c r="C25" s="815" t="s">
        <v>9</v>
      </c>
      <c r="D25" s="816"/>
      <c r="E25" s="817"/>
    </row>
    <row r="26" spans="2:5" x14ac:dyDescent="0.2">
      <c r="D26" s="253"/>
    </row>
    <row r="27" spans="2:5" ht="38.25" x14ac:dyDescent="0.2">
      <c r="C27" s="792" t="s">
        <v>10</v>
      </c>
      <c r="D27" s="820" t="s">
        <v>11</v>
      </c>
      <c r="E27" s="821"/>
    </row>
    <row r="28" spans="2:5" x14ac:dyDescent="0.2">
      <c r="C28" s="801"/>
      <c r="D28" s="820" t="s">
        <v>12</v>
      </c>
      <c r="E28" s="821"/>
    </row>
    <row r="30" spans="2:5" x14ac:dyDescent="0.2">
      <c r="C30" s="792" t="s">
        <v>740</v>
      </c>
      <c r="D30" s="820" t="s">
        <v>741</v>
      </c>
      <c r="E30" s="821"/>
    </row>
    <row r="31" spans="2:5" x14ac:dyDescent="0.2">
      <c r="C31" s="802" t="s">
        <v>739</v>
      </c>
      <c r="D31" s="820" t="s">
        <v>760</v>
      </c>
      <c r="E31" s="821"/>
    </row>
    <row r="32" spans="2:5" x14ac:dyDescent="0.2">
      <c r="C32" s="793" t="s">
        <v>742</v>
      </c>
      <c r="D32" s="820" t="s">
        <v>761</v>
      </c>
      <c r="E32" s="821"/>
    </row>
    <row r="33" spans="2:7" x14ac:dyDescent="0.2">
      <c r="D33" s="253"/>
    </row>
    <row r="34" spans="2:7" x14ac:dyDescent="0.2">
      <c r="B34" s="254" t="s">
        <v>13</v>
      </c>
      <c r="D34" s="253"/>
      <c r="E34" s="253"/>
      <c r="G34" s="803" t="s">
        <v>754</v>
      </c>
    </row>
    <row r="35" spans="2:7" x14ac:dyDescent="0.2">
      <c r="C35" s="795" t="s">
        <v>14</v>
      </c>
      <c r="D35" s="818" t="s">
        <v>15</v>
      </c>
      <c r="E35" s="819"/>
    </row>
    <row r="36" spans="2:7" x14ac:dyDescent="0.2">
      <c r="C36" s="792" t="s">
        <v>187</v>
      </c>
      <c r="D36" s="820" t="s">
        <v>500</v>
      </c>
      <c r="E36" s="821"/>
      <c r="G36" s="785" t="s">
        <v>750</v>
      </c>
    </row>
    <row r="37" spans="2:7" x14ac:dyDescent="0.2">
      <c r="C37" s="792" t="s">
        <v>497</v>
      </c>
      <c r="D37" s="820" t="s">
        <v>501</v>
      </c>
      <c r="E37" s="821"/>
      <c r="G37" s="785" t="s">
        <v>750</v>
      </c>
    </row>
    <row r="38" spans="2:7" x14ac:dyDescent="0.2">
      <c r="C38" s="619" t="s">
        <v>748</v>
      </c>
      <c r="D38" s="820" t="s">
        <v>762</v>
      </c>
      <c r="E38" s="821"/>
      <c r="G38" s="785" t="s">
        <v>750</v>
      </c>
    </row>
    <row r="39" spans="2:7" x14ac:dyDescent="0.2">
      <c r="C39" s="796" t="s">
        <v>502</v>
      </c>
      <c r="D39" s="820" t="s">
        <v>503</v>
      </c>
      <c r="E39" s="821"/>
      <c r="G39" s="785" t="s">
        <v>750</v>
      </c>
    </row>
    <row r="40" spans="2:7" ht="24" x14ac:dyDescent="0.2">
      <c r="C40" s="619" t="s">
        <v>737</v>
      </c>
      <c r="D40" s="820" t="s">
        <v>763</v>
      </c>
      <c r="E40" s="821"/>
      <c r="G40" s="785" t="s">
        <v>750</v>
      </c>
    </row>
    <row r="41" spans="2:7" x14ac:dyDescent="0.2">
      <c r="C41" s="792" t="s">
        <v>201</v>
      </c>
      <c r="D41" s="820" t="s">
        <v>504</v>
      </c>
      <c r="E41" s="821"/>
      <c r="G41" s="785" t="s">
        <v>750</v>
      </c>
    </row>
    <row r="42" spans="2:7" x14ac:dyDescent="0.2">
      <c r="C42" s="792" t="s">
        <v>183</v>
      </c>
      <c r="D42" s="820" t="s">
        <v>505</v>
      </c>
      <c r="E42" s="821"/>
      <c r="G42" s="785" t="s">
        <v>750</v>
      </c>
    </row>
    <row r="43" spans="2:7" x14ac:dyDescent="0.2">
      <c r="C43" s="793" t="s">
        <v>193</v>
      </c>
      <c r="D43" s="820" t="s">
        <v>764</v>
      </c>
      <c r="E43" s="821"/>
      <c r="G43" s="785" t="s">
        <v>750</v>
      </c>
    </row>
    <row r="44" spans="2:7" x14ac:dyDescent="0.2">
      <c r="C44" s="793" t="s">
        <v>778</v>
      </c>
      <c r="D44" s="820" t="s">
        <v>765</v>
      </c>
      <c r="E44" s="821"/>
      <c r="G44" s="785" t="s">
        <v>750</v>
      </c>
    </row>
    <row r="45" spans="2:7" x14ac:dyDescent="0.2">
      <c r="C45" s="793" t="s">
        <v>779</v>
      </c>
      <c r="D45" s="804" t="s">
        <v>765</v>
      </c>
      <c r="E45" s="805"/>
      <c r="G45" s="785" t="s">
        <v>751</v>
      </c>
    </row>
    <row r="46" spans="2:7" x14ac:dyDescent="0.2">
      <c r="C46" s="793" t="s">
        <v>780</v>
      </c>
      <c r="D46" s="804" t="s">
        <v>765</v>
      </c>
      <c r="E46" s="805"/>
      <c r="G46" s="785" t="s">
        <v>751</v>
      </c>
    </row>
    <row r="47" spans="2:7" x14ac:dyDescent="0.2">
      <c r="C47" s="619" t="s">
        <v>188</v>
      </c>
      <c r="D47" s="820" t="s">
        <v>766</v>
      </c>
      <c r="E47" s="821"/>
      <c r="G47" s="785" t="s">
        <v>750</v>
      </c>
    </row>
    <row r="48" spans="2:7" x14ac:dyDescent="0.2">
      <c r="C48" s="619" t="s">
        <v>738</v>
      </c>
      <c r="D48" s="820" t="s">
        <v>767</v>
      </c>
      <c r="E48" s="821"/>
      <c r="G48" s="785" t="s">
        <v>750</v>
      </c>
    </row>
    <row r="49" spans="3:7" x14ac:dyDescent="0.2">
      <c r="C49" s="619" t="s">
        <v>557</v>
      </c>
      <c r="D49" s="820" t="s">
        <v>768</v>
      </c>
      <c r="E49" s="821"/>
      <c r="G49" s="785" t="s">
        <v>751</v>
      </c>
    </row>
  </sheetData>
  <sheetProtection selectLockedCells="1" selectUnlockedCells="1"/>
  <mergeCells count="22">
    <mergeCell ref="D48:E48"/>
    <mergeCell ref="D49:E49"/>
    <mergeCell ref="D31:E31"/>
    <mergeCell ref="D30:E30"/>
    <mergeCell ref="D43:E43"/>
    <mergeCell ref="D44:E44"/>
    <mergeCell ref="D36:E36"/>
    <mergeCell ref="D39:E39"/>
    <mergeCell ref="D41:E41"/>
    <mergeCell ref="D42:E42"/>
    <mergeCell ref="D37:E37"/>
    <mergeCell ref="D40:E40"/>
    <mergeCell ref="D38:E38"/>
    <mergeCell ref="D47:E47"/>
    <mergeCell ref="C16:E16"/>
    <mergeCell ref="C17:E17"/>
    <mergeCell ref="C21:E21"/>
    <mergeCell ref="C25:E25"/>
    <mergeCell ref="D35:E35"/>
    <mergeCell ref="D32:E32"/>
    <mergeCell ref="D27:E27"/>
    <mergeCell ref="D28:E28"/>
  </mergeCells>
  <hyperlinks>
    <hyperlink ref="E13" r:id="rId1"/>
    <hyperlink ref="D22" r:id="rId2"/>
  </hyperlinks>
  <pageMargins left="0.23622047244094491" right="0.23622047244094491" top="0.74803149606299213" bottom="0.74803149606299213" header="0.31496062992125984" footer="0.31496062992125984"/>
  <pageSetup paperSize="8" fitToHeight="0" orientation="portrait" r:id="rId3"/>
  <headerFooter>
    <oddHeader>&amp;R&amp;D</oddHeader>
    <oddFooter>&amp;L&amp;F / &amp;A&amp;R&amp;P /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fitToPage="1"/>
  </sheetPr>
  <dimension ref="A5:R66"/>
  <sheetViews>
    <sheetView showGridLines="0" showZeros="0" zoomScaleNormal="100" workbookViewId="0"/>
  </sheetViews>
  <sheetFormatPr baseColWidth="10" defaultColWidth="11" defaultRowHeight="12.75" x14ac:dyDescent="0.2"/>
  <cols>
    <col min="1" max="1" width="2.75" style="50" customWidth="1"/>
    <col min="2" max="2" width="40.625" style="14" customWidth="1"/>
    <col min="3" max="11" width="15.625" style="14" customWidth="1"/>
    <col min="12" max="16384" width="11" style="14"/>
  </cols>
  <sheetData>
    <row r="5" spans="1:18" s="632" customFormat="1" ht="16.5" thickBot="1" x14ac:dyDescent="0.25">
      <c r="A5" s="629"/>
      <c r="B5" s="774" t="s">
        <v>532</v>
      </c>
      <c r="C5" s="631"/>
      <c r="D5" s="629"/>
      <c r="E5" s="629"/>
      <c r="F5" s="629"/>
      <c r="G5" s="629"/>
    </row>
    <row r="6" spans="1:18" s="11" customFormat="1" x14ac:dyDescent="0.2">
      <c r="A6" s="61"/>
      <c r="B6" s="87"/>
      <c r="C6" s="86"/>
      <c r="D6" s="63"/>
      <c r="E6" s="63"/>
      <c r="F6" s="63"/>
      <c r="G6" s="63"/>
    </row>
    <row r="7" spans="1:18" s="7" customFormat="1" ht="25.5" x14ac:dyDescent="0.2">
      <c r="A7" s="47"/>
      <c r="B7" s="449" t="s">
        <v>533</v>
      </c>
      <c r="C7" s="89" t="s">
        <v>60</v>
      </c>
    </row>
    <row r="8" spans="1:18" s="351" customFormat="1" ht="38.25" x14ac:dyDescent="0.2">
      <c r="A8" s="343"/>
      <c r="B8" s="526"/>
      <c r="C8" s="527" t="s">
        <v>61</v>
      </c>
      <c r="D8" s="473" t="s">
        <v>42</v>
      </c>
      <c r="E8" s="473" t="s">
        <v>550</v>
      </c>
      <c r="F8" s="472" t="s">
        <v>52</v>
      </c>
      <c r="G8" s="472" t="str">
        <f>CONCATENATE("Energie coefficient de cumul sur ",amortissement," ans")</f>
        <v>Energie coefficient de cumul sur 40 ans</v>
      </c>
    </row>
    <row r="9" spans="1:18" s="7" customFormat="1" x14ac:dyDescent="0.2">
      <c r="A9" s="47"/>
      <c r="B9" s="90" t="s">
        <v>62</v>
      </c>
      <c r="C9" s="528">
        <v>5.0999999999999997E-2</v>
      </c>
      <c r="D9" s="529">
        <v>0.6</v>
      </c>
      <c r="E9" s="529">
        <v>1.2999999999999999E-2</v>
      </c>
      <c r="F9" s="603">
        <v>0.04</v>
      </c>
      <c r="G9" s="530">
        <f>ACTUALISATION!H14</f>
        <v>60.401983180742597</v>
      </c>
    </row>
    <row r="10" spans="1:18" s="7" customFormat="1" x14ac:dyDescent="0.2">
      <c r="A10" s="47"/>
      <c r="B10" s="90" t="s">
        <v>63</v>
      </c>
      <c r="C10" s="528">
        <v>3.2000000000000001E-2</v>
      </c>
      <c r="D10" s="529">
        <v>0.6</v>
      </c>
      <c r="E10" s="529">
        <v>1.2999999999999999E-2</v>
      </c>
      <c r="F10" s="603">
        <v>0.04</v>
      </c>
      <c r="G10" s="530">
        <f>ACTUALISATION!I14</f>
        <v>60.401983180742597</v>
      </c>
      <c r="Q10" s="12"/>
      <c r="R10" s="12"/>
    </row>
    <row r="11" spans="1:18" s="7" customFormat="1" x14ac:dyDescent="0.2">
      <c r="A11" s="47"/>
      <c r="B11" s="90" t="s">
        <v>64</v>
      </c>
      <c r="C11" s="528">
        <v>0.14399999999999999</v>
      </c>
      <c r="D11" s="529">
        <v>2.58</v>
      </c>
      <c r="E11" s="529">
        <v>0.18</v>
      </c>
      <c r="F11" s="603">
        <v>0.05</v>
      </c>
      <c r="G11" s="530">
        <f>ACTUALISATION!J14</f>
        <v>75.401259733302453</v>
      </c>
    </row>
    <row r="12" spans="1:18" s="7" customFormat="1" x14ac:dyDescent="0.2">
      <c r="A12" s="47"/>
      <c r="B12" s="90" t="s">
        <v>65</v>
      </c>
      <c r="C12" s="528">
        <v>8.8999999999999996E-2</v>
      </c>
      <c r="D12" s="529">
        <v>1</v>
      </c>
      <c r="E12" s="529">
        <v>0.3</v>
      </c>
      <c r="F12" s="603">
        <v>0.05</v>
      </c>
      <c r="G12" s="530">
        <f>ACTUALISATION!K14</f>
        <v>75.401259733302453</v>
      </c>
    </row>
    <row r="13" spans="1:18" s="7" customFormat="1" x14ac:dyDescent="0.2">
      <c r="A13" s="47"/>
      <c r="B13" s="90" t="s">
        <v>67</v>
      </c>
      <c r="C13" s="528">
        <v>4.9000000000000002E-2</v>
      </c>
      <c r="D13" s="529">
        <v>1</v>
      </c>
      <c r="E13" s="529">
        <v>0.23400000000000001</v>
      </c>
      <c r="F13" s="603">
        <v>0.05</v>
      </c>
      <c r="G13" s="530">
        <f>ACTUALISATION!L14</f>
        <v>75.401259733302453</v>
      </c>
    </row>
    <row r="14" spans="1:18" s="7" customFormat="1" x14ac:dyDescent="0.2">
      <c r="A14" s="47"/>
      <c r="B14" s="90" t="s">
        <v>66</v>
      </c>
      <c r="C14" s="528">
        <v>0.125</v>
      </c>
      <c r="D14" s="529">
        <v>1</v>
      </c>
      <c r="E14" s="529">
        <v>0.27400000000000002</v>
      </c>
      <c r="F14" s="603">
        <v>0.05</v>
      </c>
      <c r="G14" s="530">
        <f>ACTUALISATION!M14</f>
        <v>75.401259733302453</v>
      </c>
    </row>
    <row r="15" spans="1:18" s="7" customFormat="1" x14ac:dyDescent="0.2">
      <c r="A15" s="47"/>
      <c r="B15" s="90" t="s">
        <v>496</v>
      </c>
      <c r="C15" s="528">
        <v>3.6988300000000002E-2</v>
      </c>
      <c r="D15" s="529">
        <v>1</v>
      </c>
      <c r="E15" s="529">
        <v>8.8999999999999996E-2</v>
      </c>
      <c r="F15" s="603">
        <v>0.04</v>
      </c>
      <c r="G15" s="530">
        <f>ACTUALISATION!N14</f>
        <v>60.401983180742597</v>
      </c>
    </row>
    <row r="16" spans="1:18" s="7" customFormat="1" x14ac:dyDescent="0.2">
      <c r="A16" s="47"/>
      <c r="B16" s="88"/>
      <c r="C16" s="91"/>
    </row>
    <row r="17" spans="1:4" s="7" customFormat="1" x14ac:dyDescent="0.2">
      <c r="A17" s="47"/>
      <c r="B17" s="449" t="s">
        <v>534</v>
      </c>
      <c r="C17" s="91"/>
    </row>
    <row r="18" spans="1:4" s="345" customFormat="1" ht="38.25" x14ac:dyDescent="0.2">
      <c r="A18" s="343"/>
      <c r="B18" s="775" t="s">
        <v>746</v>
      </c>
      <c r="C18" s="108" t="s">
        <v>518</v>
      </c>
    </row>
    <row r="19" spans="1:4" s="7" customFormat="1" x14ac:dyDescent="0.2">
      <c r="A19" s="47"/>
      <c r="B19" s="90" t="s">
        <v>571</v>
      </c>
      <c r="C19" s="604">
        <v>86.48</v>
      </c>
    </row>
    <row r="20" spans="1:4" s="7" customFormat="1" x14ac:dyDescent="0.2">
      <c r="A20" s="47"/>
      <c r="B20" s="561" t="s">
        <v>572</v>
      </c>
      <c r="C20" s="604">
        <v>114.63</v>
      </c>
    </row>
    <row r="21" spans="1:4" s="7" customFormat="1" x14ac:dyDescent="0.2">
      <c r="A21" s="47"/>
      <c r="B21" s="561" t="s">
        <v>573</v>
      </c>
      <c r="C21" s="604">
        <v>176.28</v>
      </c>
    </row>
    <row r="22" spans="1:4" s="7" customFormat="1" x14ac:dyDescent="0.2">
      <c r="A22" s="47"/>
      <c r="B22" s="561" t="s">
        <v>581</v>
      </c>
      <c r="C22" s="604">
        <v>202.23</v>
      </c>
    </row>
    <row r="23" spans="1:4" s="7" customFormat="1" x14ac:dyDescent="0.2">
      <c r="A23" s="47"/>
      <c r="B23" s="588" t="s">
        <v>582</v>
      </c>
      <c r="C23" s="604">
        <v>232.62</v>
      </c>
      <c r="D23" s="589" t="s">
        <v>600</v>
      </c>
    </row>
    <row r="24" spans="1:4" s="7" customFormat="1" x14ac:dyDescent="0.2">
      <c r="A24" s="47"/>
      <c r="B24" s="588" t="s">
        <v>589</v>
      </c>
      <c r="C24" s="604">
        <v>495.2</v>
      </c>
      <c r="D24" s="589" t="s">
        <v>600</v>
      </c>
    </row>
    <row r="25" spans="1:4" s="7" customFormat="1" x14ac:dyDescent="0.2">
      <c r="A25" s="47"/>
      <c r="B25" s="588" t="s">
        <v>590</v>
      </c>
      <c r="C25" s="604">
        <v>612</v>
      </c>
      <c r="D25" s="589" t="s">
        <v>600</v>
      </c>
    </row>
    <row r="26" spans="1:4" s="7" customFormat="1" x14ac:dyDescent="0.2">
      <c r="A26" s="47"/>
      <c r="B26" s="588" t="s">
        <v>591</v>
      </c>
      <c r="C26" s="604">
        <v>708.79</v>
      </c>
      <c r="D26" s="589" t="s">
        <v>600</v>
      </c>
    </row>
    <row r="27" spans="1:4" s="7" customFormat="1" x14ac:dyDescent="0.2">
      <c r="A27" s="47"/>
      <c r="B27" s="562" t="s">
        <v>578</v>
      </c>
      <c r="C27" s="604">
        <f>(38.64+35.28)/2*42</f>
        <v>1552.32</v>
      </c>
      <c r="D27" s="567" t="s">
        <v>601</v>
      </c>
    </row>
    <row r="28" spans="1:4" s="7" customFormat="1" x14ac:dyDescent="0.2">
      <c r="A28" s="47"/>
      <c r="B28" s="562" t="s">
        <v>575</v>
      </c>
      <c r="C28" s="604">
        <f>(38.64+35.28)/2*78</f>
        <v>2882.88</v>
      </c>
      <c r="D28" s="567" t="s">
        <v>601</v>
      </c>
    </row>
    <row r="29" spans="1:4" s="7" customFormat="1" x14ac:dyDescent="0.2">
      <c r="A29" s="47"/>
      <c r="B29" s="562" t="s">
        <v>574</v>
      </c>
      <c r="C29" s="604">
        <f>(38.64+35.28)/2*156</f>
        <v>5765.76</v>
      </c>
      <c r="D29" s="567" t="s">
        <v>601</v>
      </c>
    </row>
    <row r="30" spans="1:4" s="7" customFormat="1" x14ac:dyDescent="0.2">
      <c r="A30" s="47"/>
      <c r="B30" s="562" t="s">
        <v>576</v>
      </c>
      <c r="C30" s="604">
        <f>(38.64+35.28)/2*192</f>
        <v>7096.32</v>
      </c>
      <c r="D30" s="567" t="s">
        <v>601</v>
      </c>
    </row>
    <row r="31" spans="1:4" s="7" customFormat="1" x14ac:dyDescent="0.2">
      <c r="A31" s="47"/>
      <c r="B31" s="562" t="s">
        <v>577</v>
      </c>
      <c r="C31" s="604">
        <f>(38.64+35.28)/2*228</f>
        <v>8426.880000000001</v>
      </c>
      <c r="D31" s="567" t="s">
        <v>601</v>
      </c>
    </row>
    <row r="32" spans="1:4" s="7" customFormat="1" x14ac:dyDescent="0.2">
      <c r="A32" s="47"/>
      <c r="B32" s="90" t="s">
        <v>99</v>
      </c>
      <c r="C32" s="604">
        <v>220.71</v>
      </c>
      <c r="D32" s="415" t="s">
        <v>102</v>
      </c>
    </row>
    <row r="33" spans="1:4" s="7" customFormat="1" x14ac:dyDescent="0.2">
      <c r="A33" s="47"/>
      <c r="B33" s="90" t="s">
        <v>100</v>
      </c>
      <c r="C33" s="604">
        <v>1223.23</v>
      </c>
      <c r="D33" s="415" t="s">
        <v>101</v>
      </c>
    </row>
    <row r="34" spans="1:4" s="11" customFormat="1" x14ac:dyDescent="0.2">
      <c r="A34" s="47"/>
      <c r="B34" s="562" t="s">
        <v>613</v>
      </c>
      <c r="C34" s="604">
        <f>200*NB_Logement</f>
        <v>9200</v>
      </c>
    </row>
    <row r="35" spans="1:4" s="11" customFormat="1" x14ac:dyDescent="0.2">
      <c r="A35" s="47"/>
      <c r="B35" s="92"/>
      <c r="C35" s="72"/>
    </row>
    <row r="36" spans="1:4" s="11" customFormat="1" x14ac:dyDescent="0.2">
      <c r="A36" s="47"/>
      <c r="B36" s="449" t="s">
        <v>535</v>
      </c>
      <c r="C36" s="72"/>
    </row>
    <row r="37" spans="1:4" s="351" customFormat="1" ht="38.25" x14ac:dyDescent="0.2">
      <c r="A37" s="352"/>
      <c r="B37" s="775" t="s">
        <v>747</v>
      </c>
      <c r="C37" s="73" t="s">
        <v>518</v>
      </c>
    </row>
    <row r="38" spans="1:4" s="7" customFormat="1" x14ac:dyDescent="0.2">
      <c r="A38" s="47"/>
      <c r="B38" s="90" t="s">
        <v>446</v>
      </c>
      <c r="C38" s="604">
        <v>53.27</v>
      </c>
      <c r="D38" s="29"/>
    </row>
    <row r="39" spans="1:4" s="7" customFormat="1" x14ac:dyDescent="0.2">
      <c r="A39" s="47"/>
      <c r="B39" s="90" t="s">
        <v>447</v>
      </c>
      <c r="C39" s="604">
        <v>86.48</v>
      </c>
      <c r="D39" s="29"/>
    </row>
    <row r="40" spans="1:4" s="7" customFormat="1" x14ac:dyDescent="0.2">
      <c r="A40" s="47"/>
      <c r="B40" s="90" t="s">
        <v>448</v>
      </c>
      <c r="C40" s="604">
        <v>114.63</v>
      </c>
      <c r="D40" s="29"/>
    </row>
    <row r="41" spans="1:4" s="7" customFormat="1" x14ac:dyDescent="0.2">
      <c r="A41" s="47"/>
      <c r="B41" s="90" t="s">
        <v>89</v>
      </c>
      <c r="C41" s="604">
        <v>176.28</v>
      </c>
      <c r="D41" s="29"/>
    </row>
    <row r="42" spans="1:4" s="7" customFormat="1" x14ac:dyDescent="0.2">
      <c r="A42" s="47"/>
      <c r="B42" s="90" t="s">
        <v>583</v>
      </c>
      <c r="C42" s="604">
        <v>202.23</v>
      </c>
      <c r="D42" s="29"/>
    </row>
    <row r="43" spans="1:4" s="7" customFormat="1" x14ac:dyDescent="0.2">
      <c r="A43" s="47"/>
      <c r="B43" s="588" t="s">
        <v>592</v>
      </c>
      <c r="C43" s="604">
        <v>232.62</v>
      </c>
      <c r="D43" s="589" t="s">
        <v>600</v>
      </c>
    </row>
    <row r="44" spans="1:4" s="7" customFormat="1" x14ac:dyDescent="0.2">
      <c r="A44" s="47"/>
      <c r="B44" s="588" t="s">
        <v>593</v>
      </c>
      <c r="C44" s="604">
        <v>495.2</v>
      </c>
      <c r="D44" s="589" t="s">
        <v>600</v>
      </c>
    </row>
    <row r="45" spans="1:4" s="7" customFormat="1" x14ac:dyDescent="0.2">
      <c r="A45" s="47"/>
      <c r="B45" s="588" t="s">
        <v>594</v>
      </c>
      <c r="C45" s="604">
        <v>612</v>
      </c>
      <c r="D45" s="589" t="s">
        <v>600</v>
      </c>
    </row>
    <row r="46" spans="1:4" s="7" customFormat="1" x14ac:dyDescent="0.2">
      <c r="A46" s="47"/>
      <c r="B46" s="588" t="s">
        <v>595</v>
      </c>
      <c r="C46" s="604">
        <v>708.79</v>
      </c>
      <c r="D46" s="589" t="s">
        <v>600</v>
      </c>
    </row>
    <row r="47" spans="1:4" s="7" customFormat="1" x14ac:dyDescent="0.2">
      <c r="A47" s="47"/>
      <c r="B47" s="90" t="s">
        <v>449</v>
      </c>
      <c r="C47" s="604">
        <v>92.53</v>
      </c>
      <c r="D47" s="29"/>
    </row>
    <row r="48" spans="1:4" s="7" customFormat="1" x14ac:dyDescent="0.2">
      <c r="A48" s="47"/>
      <c r="B48" s="90" t="s">
        <v>445</v>
      </c>
      <c r="C48" s="604">
        <v>123.95</v>
      </c>
      <c r="D48" s="29"/>
    </row>
    <row r="49" spans="1:4" s="7" customFormat="1" x14ac:dyDescent="0.2">
      <c r="A49" s="47"/>
      <c r="B49" s="90" t="s">
        <v>90</v>
      </c>
      <c r="C49" s="604">
        <v>200.68</v>
      </c>
      <c r="D49" s="29"/>
    </row>
    <row r="50" spans="1:4" s="7" customFormat="1" x14ac:dyDescent="0.2">
      <c r="A50" s="47"/>
      <c r="B50" s="90" t="s">
        <v>584</v>
      </c>
      <c r="C50" s="604">
        <v>232.54</v>
      </c>
      <c r="D50" s="29"/>
    </row>
    <row r="51" spans="1:4" s="7" customFormat="1" x14ac:dyDescent="0.2">
      <c r="A51" s="47"/>
      <c r="B51" s="90" t="s">
        <v>585</v>
      </c>
      <c r="C51" s="604">
        <v>261.62</v>
      </c>
      <c r="D51" s="29"/>
    </row>
    <row r="52" spans="1:4" s="7" customFormat="1" x14ac:dyDescent="0.2">
      <c r="A52" s="47"/>
      <c r="B52" s="90" t="s">
        <v>586</v>
      </c>
      <c r="C52" s="604">
        <v>549.38</v>
      </c>
      <c r="D52" s="29"/>
    </row>
    <row r="53" spans="1:4" s="7" customFormat="1" x14ac:dyDescent="0.2">
      <c r="A53" s="47"/>
      <c r="B53" s="90" t="s">
        <v>587</v>
      </c>
      <c r="C53" s="604">
        <v>649.22</v>
      </c>
      <c r="D53" s="29"/>
    </row>
    <row r="54" spans="1:4" s="7" customFormat="1" x14ac:dyDescent="0.2">
      <c r="A54" s="47"/>
      <c r="B54" s="90" t="s">
        <v>588</v>
      </c>
      <c r="C54" s="604">
        <v>746.9</v>
      </c>
      <c r="D54" s="29"/>
    </row>
    <row r="55" spans="1:4" s="7" customFormat="1" x14ac:dyDescent="0.2">
      <c r="A55" s="47"/>
      <c r="B55" s="90" t="s">
        <v>444</v>
      </c>
      <c r="C55" s="604">
        <v>125.98</v>
      </c>
      <c r="D55" s="29"/>
    </row>
    <row r="56" spans="1:4" s="7" customFormat="1" x14ac:dyDescent="0.2">
      <c r="A56" s="47"/>
      <c r="B56" s="90" t="s">
        <v>91</v>
      </c>
      <c r="C56" s="604">
        <v>201.82</v>
      </c>
      <c r="D56" s="29"/>
    </row>
    <row r="57" spans="1:4" s="7" customFormat="1" x14ac:dyDescent="0.2">
      <c r="A57" s="47"/>
      <c r="B57" s="90" t="s">
        <v>596</v>
      </c>
      <c r="C57" s="604">
        <v>233.68</v>
      </c>
      <c r="D57" s="29"/>
    </row>
    <row r="58" spans="1:4" s="7" customFormat="1" x14ac:dyDescent="0.2">
      <c r="A58" s="47"/>
      <c r="B58" s="90" t="s">
        <v>597</v>
      </c>
      <c r="C58" s="604">
        <v>256.43</v>
      </c>
      <c r="D58" s="29"/>
    </row>
    <row r="59" spans="1:4" s="7" customFormat="1" x14ac:dyDescent="0.2">
      <c r="A59" s="47"/>
      <c r="B59" s="90" t="s">
        <v>598</v>
      </c>
      <c r="C59" s="604">
        <v>641.62</v>
      </c>
      <c r="D59" s="29"/>
    </row>
    <row r="60" spans="1:4" s="7" customFormat="1" x14ac:dyDescent="0.2">
      <c r="A60" s="47"/>
      <c r="B60" s="90" t="s">
        <v>599</v>
      </c>
      <c r="C60" s="604">
        <v>787.29</v>
      </c>
      <c r="D60" s="29"/>
    </row>
    <row r="61" spans="1:4" s="7" customFormat="1" x14ac:dyDescent="0.2">
      <c r="A61" s="47"/>
      <c r="B61" s="90" t="s">
        <v>93</v>
      </c>
      <c r="C61" s="604">
        <v>74.27</v>
      </c>
      <c r="D61" s="415" t="s">
        <v>97</v>
      </c>
    </row>
    <row r="62" spans="1:4" s="7" customFormat="1" x14ac:dyDescent="0.2">
      <c r="A62" s="47"/>
      <c r="B62" s="90" t="s">
        <v>94</v>
      </c>
      <c r="C62" s="604">
        <v>220.71</v>
      </c>
      <c r="D62" s="415" t="s">
        <v>98</v>
      </c>
    </row>
    <row r="63" spans="1:4" s="7" customFormat="1" x14ac:dyDescent="0.2">
      <c r="A63" s="47"/>
      <c r="B63" s="90" t="s">
        <v>95</v>
      </c>
      <c r="C63" s="604">
        <v>220.71</v>
      </c>
      <c r="D63" s="415" t="s">
        <v>103</v>
      </c>
    </row>
    <row r="64" spans="1:4" s="7" customFormat="1" x14ac:dyDescent="0.2">
      <c r="A64" s="47"/>
      <c r="B64" s="90" t="s">
        <v>92</v>
      </c>
      <c r="C64" s="604">
        <v>62.37</v>
      </c>
      <c r="D64" s="415" t="s">
        <v>96</v>
      </c>
    </row>
    <row r="65" spans="2:3" x14ac:dyDescent="0.2">
      <c r="B65" s="562" t="s">
        <v>614</v>
      </c>
      <c r="C65" s="604">
        <v>200</v>
      </c>
    </row>
    <row r="66" spans="2:3" x14ac:dyDescent="0.2">
      <c r="B66" s="93"/>
      <c r="C66" s="94"/>
    </row>
  </sheetData>
  <sheetProtection password="C434" sheet="1" objects="1" scenarios="1"/>
  <pageMargins left="0.23622047244094491" right="0.23622047244094491" top="0.74803149606299213" bottom="0.74803149606299213" header="0.31496062992125984" footer="0.31496062992125984"/>
  <pageSetup paperSize="8" fitToHeight="0" orientation="portrait" r:id="rId1"/>
  <headerFooter>
    <oddHeader>&amp;R&amp;D</oddHeader>
    <oddFooter>&amp;L&amp;F / &amp;A&amp;R&amp;P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4:X76"/>
  <sheetViews>
    <sheetView showGridLines="0" zoomScaleNormal="100" workbookViewId="0"/>
  </sheetViews>
  <sheetFormatPr baseColWidth="10" defaultColWidth="11" defaultRowHeight="12.75" x14ac:dyDescent="0.2"/>
  <cols>
    <col min="1" max="1" width="5.75" style="46" customWidth="1"/>
    <col min="2" max="2" width="20.75" style="46" customWidth="1"/>
    <col min="3" max="3" width="12.75" style="52" customWidth="1"/>
    <col min="4" max="4" width="12.75" style="46" customWidth="1"/>
    <col min="5" max="5" width="15.75" style="46" customWidth="1"/>
    <col min="6" max="6" width="5.75" customWidth="1"/>
    <col min="7" max="7" width="20.75" style="43" customWidth="1"/>
    <col min="8" max="14" width="7.75" style="43" customWidth="1"/>
    <col min="15" max="15" width="2.625" style="43" customWidth="1"/>
    <col min="25" max="16384" width="11" style="46"/>
  </cols>
  <sheetData>
    <row r="4" spans="1:24" x14ac:dyDescent="0.2">
      <c r="B4" s="51"/>
    </row>
    <row r="5" spans="1:24" s="780" customFormat="1" ht="16.5" thickBot="1" x14ac:dyDescent="0.3">
      <c r="A5" s="629"/>
      <c r="B5" s="776" t="s">
        <v>523</v>
      </c>
      <c r="C5" s="777"/>
      <c r="D5" s="629"/>
      <c r="E5" s="629"/>
      <c r="F5" s="778"/>
      <c r="G5" s="776" t="s">
        <v>522</v>
      </c>
      <c r="H5" s="778"/>
      <c r="I5" s="778"/>
      <c r="J5" s="778"/>
      <c r="K5" s="778"/>
      <c r="L5" s="778"/>
      <c r="M5" s="778"/>
      <c r="N5" s="778"/>
      <c r="O5" s="778"/>
      <c r="P5" s="779"/>
      <c r="Q5" s="779"/>
      <c r="R5" s="779"/>
      <c r="S5" s="779"/>
      <c r="T5" s="779"/>
      <c r="U5" s="779"/>
      <c r="V5" s="779"/>
      <c r="W5" s="779"/>
      <c r="X5" s="779"/>
    </row>
    <row r="6" spans="1:24" x14ac:dyDescent="0.2">
      <c r="B6" s="51"/>
    </row>
    <row r="7" spans="1:24" x14ac:dyDescent="0.2">
      <c r="B7" s="602" t="s">
        <v>185</v>
      </c>
      <c r="G7" s="602" t="s">
        <v>185</v>
      </c>
      <c r="O7" s="42"/>
    </row>
    <row r="8" spans="1:24" ht="26.45" customHeight="1" x14ac:dyDescent="0.2">
      <c r="B8" s="854" t="s">
        <v>46</v>
      </c>
      <c r="C8" s="854"/>
      <c r="D8" s="854"/>
      <c r="E8" s="435">
        <f>+actu_loyer</f>
        <v>1.0999999999999999E-2</v>
      </c>
      <c r="G8" s="535" t="s">
        <v>630</v>
      </c>
      <c r="H8" s="601">
        <f>HYPOTHESES!F9-Inflation</f>
        <v>0.02</v>
      </c>
      <c r="I8" s="601">
        <f>HYPOTHESES!F10-Inflation</f>
        <v>0.02</v>
      </c>
      <c r="J8" s="601">
        <f>HYPOTHESES!F11-Inflation</f>
        <v>3.0000000000000002E-2</v>
      </c>
      <c r="K8" s="601">
        <f>HYPOTHESES!F12-Inflation</f>
        <v>3.0000000000000002E-2</v>
      </c>
      <c r="L8" s="601">
        <f>HYPOTHESES!F13-Inflation</f>
        <v>3.0000000000000002E-2</v>
      </c>
      <c r="M8" s="601">
        <f>HYPOTHESES!F14-Inflation</f>
        <v>3.0000000000000002E-2</v>
      </c>
      <c r="N8" s="601">
        <f>HYPOTHESES!F15-Inflation</f>
        <v>0.02</v>
      </c>
      <c r="O8" s="274"/>
    </row>
    <row r="9" spans="1:24" x14ac:dyDescent="0.2">
      <c r="B9" s="854" t="s">
        <v>47</v>
      </c>
      <c r="C9" s="854"/>
      <c r="D9" s="854"/>
      <c r="E9" s="436">
        <f>+amortissement</f>
        <v>40</v>
      </c>
      <c r="O9" s="42"/>
    </row>
    <row r="10" spans="1:24" x14ac:dyDescent="0.2">
      <c r="B10" s="854" t="s">
        <v>48</v>
      </c>
      <c r="C10" s="854"/>
      <c r="D10" s="854"/>
      <c r="E10" s="434">
        <f>NB_Logement</f>
        <v>46</v>
      </c>
      <c r="O10" s="42"/>
    </row>
    <row r="11" spans="1:24" x14ac:dyDescent="0.2">
      <c r="B11" s="854" t="s">
        <v>184</v>
      </c>
      <c r="C11" s="854"/>
      <c r="D11" s="854"/>
      <c r="E11" s="437">
        <f>SHAB</f>
        <v>2750</v>
      </c>
      <c r="O11" s="42"/>
    </row>
    <row r="12" spans="1:24" x14ac:dyDescent="0.2">
      <c r="B12" s="854" t="s">
        <v>49</v>
      </c>
      <c r="C12" s="854"/>
      <c r="D12" s="854"/>
      <c r="E12" s="438">
        <f>ATTRACTIVITE!I10</f>
        <v>144540</v>
      </c>
      <c r="O12" s="42"/>
    </row>
    <row r="13" spans="1:24" ht="13.5" thickBot="1" x14ac:dyDescent="0.25">
      <c r="G13" s="41"/>
      <c r="H13" s="43">
        <v>2</v>
      </c>
      <c r="I13" s="43">
        <v>3</v>
      </c>
      <c r="J13" s="43">
        <v>4</v>
      </c>
      <c r="K13" s="43">
        <v>5</v>
      </c>
      <c r="L13" s="43">
        <v>6</v>
      </c>
      <c r="M13" s="43">
        <v>7</v>
      </c>
      <c r="N13" s="43">
        <v>8</v>
      </c>
      <c r="O13" s="42"/>
    </row>
    <row r="14" spans="1:24" ht="13.5" thickBot="1" x14ac:dyDescent="0.25">
      <c r="B14" s="852" t="str">
        <f>CONCATENATE("Loyers cumulés et actualisés du projet sur ",+amortissement," ans ")</f>
        <v xml:space="preserve">Loyers cumulés et actualisés du projet sur 40 ans </v>
      </c>
      <c r="C14" s="853"/>
      <c r="D14" s="853"/>
      <c r="E14" s="597">
        <f>VLOOKUP(+amortissement,$A$17:$E$76,5)</f>
        <v>7213616.5712978495</v>
      </c>
      <c r="G14" s="598">
        <f>+amortissement</f>
        <v>40</v>
      </c>
      <c r="H14" s="599">
        <f>VLOOKUP($G$14-1,$G$17:$M$76,H13)</f>
        <v>60.401983180742597</v>
      </c>
      <c r="I14" s="599">
        <f>VLOOKUP($G$14-1,$G$17:$M$76,I13)</f>
        <v>60.401983180742597</v>
      </c>
      <c r="J14" s="599">
        <f>VLOOKUP($G$14-1,$G$17:$M$76,J13)</f>
        <v>75.401259733302453</v>
      </c>
      <c r="K14" s="599">
        <f>VLOOKUP($G$14-1,$G$17:$M$76,K13)</f>
        <v>75.401259733302453</v>
      </c>
      <c r="L14" s="599">
        <f>VLOOKUP($G$14-1,$G$17:$M$76,L13)</f>
        <v>75.401259733302453</v>
      </c>
      <c r="M14" s="599">
        <f>VLOOKUP($G$14-1,$G$17:$N$76,M13)</f>
        <v>75.401259733302453</v>
      </c>
      <c r="N14" s="600">
        <f>VLOOKUP($G$14-1,$G$17:$N$76,N13)</f>
        <v>60.401983180742597</v>
      </c>
      <c r="O14" s="42"/>
    </row>
    <row r="15" spans="1:24" x14ac:dyDescent="0.2">
      <c r="A15" s="45"/>
      <c r="B15" s="441"/>
      <c r="C15" s="441"/>
      <c r="D15" s="441"/>
      <c r="E15" s="442"/>
      <c r="O15" s="42"/>
    </row>
    <row r="16" spans="1:24" ht="70.150000000000006" customHeight="1" x14ac:dyDescent="0.2">
      <c r="B16" s="535" t="s">
        <v>366</v>
      </c>
      <c r="C16" s="535" t="s">
        <v>536</v>
      </c>
      <c r="D16" s="535" t="s">
        <v>606</v>
      </c>
      <c r="E16" s="535" t="s">
        <v>605</v>
      </c>
      <c r="G16" s="535" t="s">
        <v>366</v>
      </c>
      <c r="H16" s="275" t="s">
        <v>76</v>
      </c>
      <c r="I16" s="275" t="s">
        <v>77</v>
      </c>
      <c r="J16" s="275" t="s">
        <v>34</v>
      </c>
      <c r="K16" s="275" t="s">
        <v>78</v>
      </c>
      <c r="L16" s="275" t="s">
        <v>80</v>
      </c>
      <c r="M16" s="275" t="s">
        <v>79</v>
      </c>
      <c r="N16" s="275" t="s">
        <v>496</v>
      </c>
      <c r="O16" s="42"/>
    </row>
    <row r="17" spans="1:15" x14ac:dyDescent="0.2">
      <c r="A17" s="52">
        <f>+A12+1</f>
        <v>1</v>
      </c>
      <c r="B17" s="439" t="str">
        <f t="shared" ref="B17:B48" si="0">CONCATENATE("année ",A17)</f>
        <v>année 1</v>
      </c>
      <c r="C17" s="440">
        <f t="shared" ref="C17:C48" si="1">(1+$E$8)^(A17-1)</f>
        <v>1</v>
      </c>
      <c r="D17" s="438">
        <f>E12*C17</f>
        <v>144540</v>
      </c>
      <c r="E17" s="438">
        <f>+D17</f>
        <v>144540</v>
      </c>
      <c r="G17" s="20">
        <v>0</v>
      </c>
      <c r="H17" s="276">
        <f t="shared" ref="H17:N17" si="2">(1+H8)^$G17</f>
        <v>1</v>
      </c>
      <c r="I17" s="276">
        <f t="shared" si="2"/>
        <v>1</v>
      </c>
      <c r="J17" s="276">
        <f t="shared" si="2"/>
        <v>1</v>
      </c>
      <c r="K17" s="276">
        <f t="shared" si="2"/>
        <v>1</v>
      </c>
      <c r="L17" s="276">
        <f t="shared" si="2"/>
        <v>1</v>
      </c>
      <c r="M17" s="276">
        <f t="shared" si="2"/>
        <v>1</v>
      </c>
      <c r="N17" s="276">
        <f t="shared" si="2"/>
        <v>1</v>
      </c>
      <c r="O17" s="42"/>
    </row>
    <row r="18" spans="1:15" x14ac:dyDescent="0.2">
      <c r="A18" s="52">
        <f t="shared" ref="A18:A49" si="3">+A17+1</f>
        <v>2</v>
      </c>
      <c r="B18" s="439" t="str">
        <f t="shared" si="0"/>
        <v>année 2</v>
      </c>
      <c r="C18" s="440">
        <f t="shared" si="1"/>
        <v>1.0109999999999999</v>
      </c>
      <c r="D18" s="438">
        <f>E12*C18</f>
        <v>146129.93999999997</v>
      </c>
      <c r="E18" s="438">
        <f t="shared" ref="E18:E49" si="4">+D18+E17</f>
        <v>290669.93999999994</v>
      </c>
      <c r="G18" s="20">
        <v>1</v>
      </c>
      <c r="H18" s="276">
        <f t="shared" ref="H18:H49" si="5">(1+H$8)^$G18+H17</f>
        <v>2.02</v>
      </c>
      <c r="I18" s="276">
        <f t="shared" ref="I18:I49" si="6">(1+I$8)^$G18+I17</f>
        <v>2.02</v>
      </c>
      <c r="J18" s="276">
        <f t="shared" ref="J18:J49" si="7">(1+J$8)^$G18+J17</f>
        <v>2.0300000000000002</v>
      </c>
      <c r="K18" s="276">
        <f t="shared" ref="K18:K49" si="8">(1+K$8)^$G18+K17</f>
        <v>2.0300000000000002</v>
      </c>
      <c r="L18" s="276">
        <f t="shared" ref="L18:L49" si="9">(1+L$8)^$G18+L17</f>
        <v>2.0300000000000002</v>
      </c>
      <c r="M18" s="276">
        <f t="shared" ref="M18:M49" si="10">(1+M$8)^$G18+M17</f>
        <v>2.0300000000000002</v>
      </c>
      <c r="N18" s="276">
        <f t="shared" ref="N18:N49" si="11">(1+N$8)^$G18+N17</f>
        <v>2.02</v>
      </c>
      <c r="O18" s="42"/>
    </row>
    <row r="19" spans="1:15" x14ac:dyDescent="0.2">
      <c r="A19" s="52">
        <f t="shared" si="3"/>
        <v>3</v>
      </c>
      <c r="B19" s="439" t="str">
        <f t="shared" si="0"/>
        <v>année 3</v>
      </c>
      <c r="C19" s="440">
        <f t="shared" si="1"/>
        <v>1.0221209999999998</v>
      </c>
      <c r="D19" s="438">
        <f>E12*C19</f>
        <v>147737.36933999998</v>
      </c>
      <c r="E19" s="438">
        <f t="shared" si="4"/>
        <v>438407.30933999992</v>
      </c>
      <c r="G19" s="20">
        <f t="shared" ref="G19:G50" si="12">+G18+1</f>
        <v>2</v>
      </c>
      <c r="H19" s="276">
        <f t="shared" si="5"/>
        <v>3.0604</v>
      </c>
      <c r="I19" s="276">
        <f t="shared" si="6"/>
        <v>3.0604</v>
      </c>
      <c r="J19" s="276">
        <f t="shared" si="7"/>
        <v>3.0909000000000004</v>
      </c>
      <c r="K19" s="276">
        <f t="shared" si="8"/>
        <v>3.0909000000000004</v>
      </c>
      <c r="L19" s="276">
        <f t="shared" si="9"/>
        <v>3.0909000000000004</v>
      </c>
      <c r="M19" s="276">
        <f t="shared" si="10"/>
        <v>3.0909000000000004</v>
      </c>
      <c r="N19" s="276">
        <f t="shared" si="11"/>
        <v>3.0604</v>
      </c>
      <c r="O19" s="42"/>
    </row>
    <row r="20" spans="1:15" x14ac:dyDescent="0.2">
      <c r="A20" s="52">
        <f t="shared" si="3"/>
        <v>4</v>
      </c>
      <c r="B20" s="439" t="str">
        <f t="shared" si="0"/>
        <v>année 4</v>
      </c>
      <c r="C20" s="440">
        <f t="shared" si="1"/>
        <v>1.0333643309999998</v>
      </c>
      <c r="D20" s="438">
        <f>E12*C20</f>
        <v>149362.48040273998</v>
      </c>
      <c r="E20" s="438">
        <f t="shared" si="4"/>
        <v>587769.78974273987</v>
      </c>
      <c r="G20" s="20">
        <f t="shared" si="12"/>
        <v>3</v>
      </c>
      <c r="H20" s="276">
        <f t="shared" si="5"/>
        <v>4.1216080000000002</v>
      </c>
      <c r="I20" s="276">
        <f t="shared" si="6"/>
        <v>4.1216080000000002</v>
      </c>
      <c r="J20" s="276">
        <f t="shared" si="7"/>
        <v>4.1836270000000004</v>
      </c>
      <c r="K20" s="276">
        <f t="shared" si="8"/>
        <v>4.1836270000000004</v>
      </c>
      <c r="L20" s="276">
        <f t="shared" si="9"/>
        <v>4.1836270000000004</v>
      </c>
      <c r="M20" s="276">
        <f t="shared" si="10"/>
        <v>4.1836270000000004</v>
      </c>
      <c r="N20" s="276">
        <f t="shared" si="11"/>
        <v>4.1216080000000002</v>
      </c>
      <c r="O20" s="42"/>
    </row>
    <row r="21" spans="1:15" x14ac:dyDescent="0.2">
      <c r="A21" s="52">
        <f t="shared" si="3"/>
        <v>5</v>
      </c>
      <c r="B21" s="439" t="str">
        <f t="shared" si="0"/>
        <v>année 5</v>
      </c>
      <c r="C21" s="440">
        <f t="shared" si="1"/>
        <v>1.0447313386409998</v>
      </c>
      <c r="D21" s="438">
        <f>E12*C21</f>
        <v>151005.46768717011</v>
      </c>
      <c r="E21" s="438">
        <f t="shared" si="4"/>
        <v>738775.25742991001</v>
      </c>
      <c r="G21" s="20">
        <f t="shared" si="12"/>
        <v>4</v>
      </c>
      <c r="H21" s="276">
        <f t="shared" si="5"/>
        <v>5.2040401599999999</v>
      </c>
      <c r="I21" s="276">
        <f t="shared" si="6"/>
        <v>5.2040401599999999</v>
      </c>
      <c r="J21" s="276">
        <f t="shared" si="7"/>
        <v>5.3091358100000008</v>
      </c>
      <c r="K21" s="276">
        <f t="shared" si="8"/>
        <v>5.3091358100000008</v>
      </c>
      <c r="L21" s="276">
        <f t="shared" si="9"/>
        <v>5.3091358100000008</v>
      </c>
      <c r="M21" s="276">
        <f t="shared" si="10"/>
        <v>5.3091358100000008</v>
      </c>
      <c r="N21" s="276">
        <f t="shared" si="11"/>
        <v>5.2040401599999999</v>
      </c>
      <c r="O21" s="42"/>
    </row>
    <row r="22" spans="1:15" x14ac:dyDescent="0.2">
      <c r="A22" s="52">
        <f t="shared" si="3"/>
        <v>6</v>
      </c>
      <c r="B22" s="439" t="str">
        <f t="shared" si="0"/>
        <v>année 6</v>
      </c>
      <c r="C22" s="440">
        <f t="shared" si="1"/>
        <v>1.0562233833660506</v>
      </c>
      <c r="D22" s="438">
        <f>E12*C22</f>
        <v>152666.52783172895</v>
      </c>
      <c r="E22" s="438">
        <f t="shared" si="4"/>
        <v>891441.78526163893</v>
      </c>
      <c r="G22" s="20">
        <f t="shared" si="12"/>
        <v>5</v>
      </c>
      <c r="H22" s="276">
        <f t="shared" si="5"/>
        <v>6.3081209632000004</v>
      </c>
      <c r="I22" s="276">
        <f t="shared" si="6"/>
        <v>6.3081209632000004</v>
      </c>
      <c r="J22" s="276">
        <f t="shared" si="7"/>
        <v>6.4684098843000006</v>
      </c>
      <c r="K22" s="276">
        <f t="shared" si="8"/>
        <v>6.4684098843000006</v>
      </c>
      <c r="L22" s="276">
        <f t="shared" si="9"/>
        <v>6.4684098843000006</v>
      </c>
      <c r="M22" s="276">
        <f t="shared" si="10"/>
        <v>6.4684098843000006</v>
      </c>
      <c r="N22" s="276">
        <f t="shared" si="11"/>
        <v>6.3081209632000004</v>
      </c>
      <c r="O22" s="42"/>
    </row>
    <row r="23" spans="1:15" x14ac:dyDescent="0.2">
      <c r="A23" s="52">
        <f t="shared" si="3"/>
        <v>7</v>
      </c>
      <c r="B23" s="439" t="str">
        <f t="shared" si="0"/>
        <v>année 7</v>
      </c>
      <c r="C23" s="440">
        <f t="shared" si="1"/>
        <v>1.0678418405830772</v>
      </c>
      <c r="D23" s="438">
        <f>E12*C23</f>
        <v>154345.85963787796</v>
      </c>
      <c r="E23" s="438">
        <f t="shared" si="4"/>
        <v>1045787.6448995168</v>
      </c>
      <c r="G23" s="20">
        <f t="shared" si="12"/>
        <v>6</v>
      </c>
      <c r="H23" s="276">
        <f t="shared" si="5"/>
        <v>7.4342833824640007</v>
      </c>
      <c r="I23" s="276">
        <f t="shared" si="6"/>
        <v>7.4342833824640007</v>
      </c>
      <c r="J23" s="276">
        <f t="shared" si="7"/>
        <v>7.6624621808290003</v>
      </c>
      <c r="K23" s="276">
        <f t="shared" si="8"/>
        <v>7.6624621808290003</v>
      </c>
      <c r="L23" s="276">
        <f t="shared" si="9"/>
        <v>7.6624621808290003</v>
      </c>
      <c r="M23" s="276">
        <f t="shared" si="10"/>
        <v>7.6624621808290003</v>
      </c>
      <c r="N23" s="276">
        <f t="shared" si="11"/>
        <v>7.4342833824640007</v>
      </c>
      <c r="O23" s="42"/>
    </row>
    <row r="24" spans="1:15" x14ac:dyDescent="0.2">
      <c r="A24" s="52">
        <f t="shared" si="3"/>
        <v>8</v>
      </c>
      <c r="B24" s="439" t="str">
        <f t="shared" si="0"/>
        <v>année 8</v>
      </c>
      <c r="C24" s="440">
        <f t="shared" si="1"/>
        <v>1.079588100829491</v>
      </c>
      <c r="D24" s="438">
        <f>E12*C24</f>
        <v>156043.66409389462</v>
      </c>
      <c r="E24" s="438">
        <f t="shared" si="4"/>
        <v>1201831.3089934115</v>
      </c>
      <c r="G24" s="20">
        <f t="shared" si="12"/>
        <v>7</v>
      </c>
      <c r="H24" s="276">
        <f t="shared" si="5"/>
        <v>8.5829690501132809</v>
      </c>
      <c r="I24" s="276">
        <f t="shared" si="6"/>
        <v>8.5829690501132809</v>
      </c>
      <c r="J24" s="276">
        <f t="shared" si="7"/>
        <v>8.8923360462538703</v>
      </c>
      <c r="K24" s="276">
        <f t="shared" si="8"/>
        <v>8.8923360462538703</v>
      </c>
      <c r="L24" s="276">
        <f t="shared" si="9"/>
        <v>8.8923360462538703</v>
      </c>
      <c r="M24" s="276">
        <f t="shared" si="10"/>
        <v>8.8923360462538703</v>
      </c>
      <c r="N24" s="276">
        <f t="shared" si="11"/>
        <v>8.5829690501132809</v>
      </c>
      <c r="O24" s="42"/>
    </row>
    <row r="25" spans="1:15" x14ac:dyDescent="0.2">
      <c r="A25" s="52">
        <f t="shared" si="3"/>
        <v>9</v>
      </c>
      <c r="B25" s="439" t="str">
        <f t="shared" si="0"/>
        <v>année 9</v>
      </c>
      <c r="C25" s="440">
        <f t="shared" si="1"/>
        <v>1.0914635699386153</v>
      </c>
      <c r="D25" s="438">
        <f>E12*C25</f>
        <v>157760.14439892746</v>
      </c>
      <c r="E25" s="438">
        <f t="shared" si="4"/>
        <v>1359591.4533923389</v>
      </c>
      <c r="G25" s="20">
        <f t="shared" si="12"/>
        <v>8</v>
      </c>
      <c r="H25" s="276">
        <f t="shared" si="5"/>
        <v>9.7546284311155471</v>
      </c>
      <c r="I25" s="276">
        <f t="shared" si="6"/>
        <v>9.7546284311155471</v>
      </c>
      <c r="J25" s="276">
        <f t="shared" si="7"/>
        <v>10.159106127641486</v>
      </c>
      <c r="K25" s="276">
        <f t="shared" si="8"/>
        <v>10.159106127641486</v>
      </c>
      <c r="L25" s="276">
        <f t="shared" si="9"/>
        <v>10.159106127641486</v>
      </c>
      <c r="M25" s="276">
        <f t="shared" si="10"/>
        <v>10.159106127641486</v>
      </c>
      <c r="N25" s="276">
        <f t="shared" si="11"/>
        <v>9.7546284311155471</v>
      </c>
      <c r="O25" s="42"/>
    </row>
    <row r="26" spans="1:15" x14ac:dyDescent="0.2">
      <c r="A26" s="52">
        <f t="shared" si="3"/>
        <v>10</v>
      </c>
      <c r="B26" s="439" t="str">
        <f t="shared" si="0"/>
        <v>année 10</v>
      </c>
      <c r="C26" s="440">
        <f t="shared" si="1"/>
        <v>1.10346966920794</v>
      </c>
      <c r="D26" s="438">
        <f>E12*C26</f>
        <v>159495.50598731564</v>
      </c>
      <c r="E26" s="438">
        <f t="shared" si="4"/>
        <v>1519086.9593796546</v>
      </c>
      <c r="G26" s="20">
        <f t="shared" si="12"/>
        <v>9</v>
      </c>
      <c r="H26" s="276">
        <f t="shared" si="5"/>
        <v>10.949720999737858</v>
      </c>
      <c r="I26" s="276">
        <f t="shared" si="6"/>
        <v>10.949720999737858</v>
      </c>
      <c r="J26" s="276">
        <f t="shared" si="7"/>
        <v>11.46387931147073</v>
      </c>
      <c r="K26" s="276">
        <f t="shared" si="8"/>
        <v>11.46387931147073</v>
      </c>
      <c r="L26" s="276">
        <f t="shared" si="9"/>
        <v>11.46387931147073</v>
      </c>
      <c r="M26" s="276">
        <f t="shared" si="10"/>
        <v>11.46387931147073</v>
      </c>
      <c r="N26" s="276">
        <f t="shared" si="11"/>
        <v>10.949720999737858</v>
      </c>
      <c r="O26" s="42"/>
    </row>
    <row r="27" spans="1:15" x14ac:dyDescent="0.2">
      <c r="A27" s="52">
        <f t="shared" si="3"/>
        <v>11</v>
      </c>
      <c r="B27" s="439" t="str">
        <f t="shared" si="0"/>
        <v>année 11</v>
      </c>
      <c r="C27" s="440">
        <f t="shared" si="1"/>
        <v>1.1156078355692272</v>
      </c>
      <c r="D27" s="438">
        <f>E12*C27</f>
        <v>161249.9565531761</v>
      </c>
      <c r="E27" s="438">
        <f t="shared" si="4"/>
        <v>1680336.9159328307</v>
      </c>
      <c r="G27" s="20">
        <f t="shared" si="12"/>
        <v>10</v>
      </c>
      <c r="H27" s="276">
        <f t="shared" si="5"/>
        <v>12.168715419732616</v>
      </c>
      <c r="I27" s="276">
        <f t="shared" si="6"/>
        <v>12.168715419732616</v>
      </c>
      <c r="J27" s="276">
        <f t="shared" si="7"/>
        <v>12.807795690814853</v>
      </c>
      <c r="K27" s="276">
        <f t="shared" si="8"/>
        <v>12.807795690814853</v>
      </c>
      <c r="L27" s="276">
        <f t="shared" si="9"/>
        <v>12.807795690814853</v>
      </c>
      <c r="M27" s="276">
        <f t="shared" si="10"/>
        <v>12.807795690814853</v>
      </c>
      <c r="N27" s="276">
        <f t="shared" si="11"/>
        <v>12.168715419732616</v>
      </c>
      <c r="O27" s="42"/>
    </row>
    <row r="28" spans="1:15" x14ac:dyDescent="0.2">
      <c r="A28" s="52">
        <f t="shared" si="3"/>
        <v>12</v>
      </c>
      <c r="B28" s="439" t="str">
        <f t="shared" si="0"/>
        <v>année 12</v>
      </c>
      <c r="C28" s="440">
        <f t="shared" si="1"/>
        <v>1.1278795217604887</v>
      </c>
      <c r="D28" s="438">
        <f>E12*C28</f>
        <v>163023.70607526103</v>
      </c>
      <c r="E28" s="438">
        <f t="shared" si="4"/>
        <v>1843360.6220080918</v>
      </c>
      <c r="G28" s="20">
        <f t="shared" si="12"/>
        <v>11</v>
      </c>
      <c r="H28" s="276">
        <f t="shared" si="5"/>
        <v>13.412089728127267</v>
      </c>
      <c r="I28" s="276">
        <f t="shared" si="6"/>
        <v>13.412089728127267</v>
      </c>
      <c r="J28" s="276">
        <f t="shared" si="7"/>
        <v>14.192029561539298</v>
      </c>
      <c r="K28" s="276">
        <f t="shared" si="8"/>
        <v>14.192029561539298</v>
      </c>
      <c r="L28" s="276">
        <f t="shared" si="9"/>
        <v>14.192029561539298</v>
      </c>
      <c r="M28" s="276">
        <f t="shared" si="10"/>
        <v>14.192029561539298</v>
      </c>
      <c r="N28" s="276">
        <f t="shared" si="11"/>
        <v>13.412089728127267</v>
      </c>
      <c r="O28" s="42"/>
    </row>
    <row r="29" spans="1:15" x14ac:dyDescent="0.2">
      <c r="A29" s="52">
        <f t="shared" si="3"/>
        <v>13</v>
      </c>
      <c r="B29" s="439" t="str">
        <f t="shared" si="0"/>
        <v>année 13</v>
      </c>
      <c r="C29" s="440">
        <f t="shared" si="1"/>
        <v>1.1402861964998541</v>
      </c>
      <c r="D29" s="438">
        <f>E12*C29</f>
        <v>164816.96684208891</v>
      </c>
      <c r="E29" s="438">
        <f t="shared" si="4"/>
        <v>2008177.5888501806</v>
      </c>
      <c r="G29" s="20">
        <f t="shared" si="12"/>
        <v>12</v>
      </c>
      <c r="H29" s="276">
        <f t="shared" si="5"/>
        <v>14.680331522689812</v>
      </c>
      <c r="I29" s="276">
        <f t="shared" si="6"/>
        <v>14.680331522689812</v>
      </c>
      <c r="J29" s="276">
        <f t="shared" si="7"/>
        <v>15.617790448385477</v>
      </c>
      <c r="K29" s="276">
        <f t="shared" si="8"/>
        <v>15.617790448385477</v>
      </c>
      <c r="L29" s="276">
        <f t="shared" si="9"/>
        <v>15.617790448385477</v>
      </c>
      <c r="M29" s="276">
        <f t="shared" si="10"/>
        <v>15.617790448385477</v>
      </c>
      <c r="N29" s="276">
        <f t="shared" si="11"/>
        <v>14.680331522689812</v>
      </c>
      <c r="O29" s="42"/>
    </row>
    <row r="30" spans="1:15" x14ac:dyDescent="0.2">
      <c r="A30" s="52">
        <f t="shared" si="3"/>
        <v>14</v>
      </c>
      <c r="B30" s="439" t="str">
        <f t="shared" si="0"/>
        <v>année 14</v>
      </c>
      <c r="C30" s="440">
        <f t="shared" si="1"/>
        <v>1.1528293446613522</v>
      </c>
      <c r="D30" s="438">
        <f>E12*C30</f>
        <v>166629.95347735184</v>
      </c>
      <c r="E30" s="438">
        <f t="shared" si="4"/>
        <v>2174807.5423275325</v>
      </c>
      <c r="G30" s="20">
        <f t="shared" si="12"/>
        <v>13</v>
      </c>
      <c r="H30" s="276">
        <f t="shared" si="5"/>
        <v>15.973938153143608</v>
      </c>
      <c r="I30" s="276">
        <f t="shared" si="6"/>
        <v>15.973938153143608</v>
      </c>
      <c r="J30" s="276">
        <f t="shared" si="7"/>
        <v>17.086324161837041</v>
      </c>
      <c r="K30" s="276">
        <f t="shared" si="8"/>
        <v>17.086324161837041</v>
      </c>
      <c r="L30" s="276">
        <f t="shared" si="9"/>
        <v>17.086324161837041</v>
      </c>
      <c r="M30" s="276">
        <f t="shared" si="10"/>
        <v>17.086324161837041</v>
      </c>
      <c r="N30" s="276">
        <f t="shared" si="11"/>
        <v>15.973938153143608</v>
      </c>
      <c r="O30" s="42"/>
    </row>
    <row r="31" spans="1:15" x14ac:dyDescent="0.2">
      <c r="A31" s="52">
        <f t="shared" si="3"/>
        <v>15</v>
      </c>
      <c r="B31" s="439" t="str">
        <f t="shared" si="0"/>
        <v>année 15</v>
      </c>
      <c r="C31" s="440">
        <f t="shared" si="1"/>
        <v>1.1655104674526271</v>
      </c>
      <c r="D31" s="438">
        <f>E12*C31</f>
        <v>168462.88296560271</v>
      </c>
      <c r="E31" s="438">
        <f t="shared" si="4"/>
        <v>2343270.4252931355</v>
      </c>
      <c r="G31" s="20">
        <f t="shared" si="12"/>
        <v>14</v>
      </c>
      <c r="H31" s="276">
        <f t="shared" si="5"/>
        <v>17.293416916206482</v>
      </c>
      <c r="I31" s="276">
        <f t="shared" si="6"/>
        <v>17.293416916206482</v>
      </c>
      <c r="J31" s="276">
        <f t="shared" si="7"/>
        <v>18.598913886692152</v>
      </c>
      <c r="K31" s="276">
        <f t="shared" si="8"/>
        <v>18.598913886692152</v>
      </c>
      <c r="L31" s="276">
        <f t="shared" si="9"/>
        <v>18.598913886692152</v>
      </c>
      <c r="M31" s="276">
        <f t="shared" si="10"/>
        <v>18.598913886692152</v>
      </c>
      <c r="N31" s="276">
        <f t="shared" si="11"/>
        <v>17.293416916206482</v>
      </c>
      <c r="O31" s="42"/>
    </row>
    <row r="32" spans="1:15" x14ac:dyDescent="0.2">
      <c r="A32" s="52">
        <f t="shared" si="3"/>
        <v>16</v>
      </c>
      <c r="B32" s="439" t="str">
        <f t="shared" si="0"/>
        <v>année 16</v>
      </c>
      <c r="C32" s="440">
        <f t="shared" si="1"/>
        <v>1.1783310825946058</v>
      </c>
      <c r="D32" s="438">
        <f>E12*C32</f>
        <v>170315.97467822433</v>
      </c>
      <c r="E32" s="438">
        <f t="shared" si="4"/>
        <v>2513586.3999713599</v>
      </c>
      <c r="G32" s="20">
        <f t="shared" si="12"/>
        <v>15</v>
      </c>
      <c r="H32" s="276">
        <f t="shared" si="5"/>
        <v>18.639285254530613</v>
      </c>
      <c r="I32" s="276">
        <f t="shared" si="6"/>
        <v>18.639285254530613</v>
      </c>
      <c r="J32" s="276">
        <f t="shared" si="7"/>
        <v>20.156881303292916</v>
      </c>
      <c r="K32" s="276">
        <f t="shared" si="8"/>
        <v>20.156881303292916</v>
      </c>
      <c r="L32" s="276">
        <f t="shared" si="9"/>
        <v>20.156881303292916</v>
      </c>
      <c r="M32" s="276">
        <f t="shared" si="10"/>
        <v>20.156881303292916</v>
      </c>
      <c r="N32" s="276">
        <f t="shared" si="11"/>
        <v>18.639285254530613</v>
      </c>
      <c r="O32" s="42"/>
    </row>
    <row r="33" spans="1:15" x14ac:dyDescent="0.2">
      <c r="A33" s="52">
        <f t="shared" si="3"/>
        <v>17</v>
      </c>
      <c r="B33" s="439" t="str">
        <f t="shared" si="0"/>
        <v>année 17</v>
      </c>
      <c r="C33" s="440">
        <f t="shared" si="1"/>
        <v>1.1912927245031464</v>
      </c>
      <c r="D33" s="438">
        <f>E12*C33</f>
        <v>172189.45039968478</v>
      </c>
      <c r="E33" s="438">
        <f t="shared" si="4"/>
        <v>2685775.8503710446</v>
      </c>
      <c r="G33" s="20">
        <f t="shared" si="12"/>
        <v>16</v>
      </c>
      <c r="H33" s="276">
        <f t="shared" si="5"/>
        <v>20.012070959621227</v>
      </c>
      <c r="I33" s="276">
        <f t="shared" si="6"/>
        <v>20.012070959621227</v>
      </c>
      <c r="J33" s="276">
        <f t="shared" si="7"/>
        <v>21.761587742391704</v>
      </c>
      <c r="K33" s="276">
        <f t="shared" si="8"/>
        <v>21.761587742391704</v>
      </c>
      <c r="L33" s="276">
        <f t="shared" si="9"/>
        <v>21.761587742391704</v>
      </c>
      <c r="M33" s="276">
        <f t="shared" si="10"/>
        <v>21.761587742391704</v>
      </c>
      <c r="N33" s="276">
        <f t="shared" si="11"/>
        <v>20.012070959621227</v>
      </c>
      <c r="O33" s="42"/>
    </row>
    <row r="34" spans="1:15" x14ac:dyDescent="0.2">
      <c r="A34" s="52">
        <f t="shared" si="3"/>
        <v>18</v>
      </c>
      <c r="B34" s="439" t="str">
        <f t="shared" si="0"/>
        <v>année 18</v>
      </c>
      <c r="C34" s="440">
        <f t="shared" si="1"/>
        <v>1.204396944472681</v>
      </c>
      <c r="D34" s="438">
        <f>E12*C34</f>
        <v>174083.53435408132</v>
      </c>
      <c r="E34" s="438">
        <f t="shared" si="4"/>
        <v>2859859.384725126</v>
      </c>
      <c r="G34" s="20">
        <f t="shared" si="12"/>
        <v>17</v>
      </c>
      <c r="H34" s="276">
        <f t="shared" si="5"/>
        <v>21.412312378813652</v>
      </c>
      <c r="I34" s="276">
        <f t="shared" si="6"/>
        <v>21.412312378813652</v>
      </c>
      <c r="J34" s="276">
        <f t="shared" si="7"/>
        <v>23.414435374663455</v>
      </c>
      <c r="K34" s="276">
        <f t="shared" si="8"/>
        <v>23.414435374663455</v>
      </c>
      <c r="L34" s="276">
        <f t="shared" si="9"/>
        <v>23.414435374663455</v>
      </c>
      <c r="M34" s="276">
        <f t="shared" si="10"/>
        <v>23.414435374663455</v>
      </c>
      <c r="N34" s="276">
        <f t="shared" si="11"/>
        <v>21.412312378813652</v>
      </c>
      <c r="O34" s="42"/>
    </row>
    <row r="35" spans="1:15" x14ac:dyDescent="0.2">
      <c r="A35" s="52">
        <f t="shared" si="3"/>
        <v>19</v>
      </c>
      <c r="B35" s="439" t="str">
        <f t="shared" si="0"/>
        <v>année 19</v>
      </c>
      <c r="C35" s="440">
        <f t="shared" si="1"/>
        <v>1.2176453108618803</v>
      </c>
      <c r="D35" s="438">
        <f>E12*C35</f>
        <v>175998.45323197619</v>
      </c>
      <c r="E35" s="438">
        <f t="shared" si="4"/>
        <v>3035857.8379571023</v>
      </c>
      <c r="G35" s="20">
        <f t="shared" si="12"/>
        <v>18</v>
      </c>
      <c r="H35" s="276">
        <f t="shared" si="5"/>
        <v>22.840558626389925</v>
      </c>
      <c r="I35" s="276">
        <f t="shared" si="6"/>
        <v>22.840558626389925</v>
      </c>
      <c r="J35" s="276">
        <f t="shared" si="7"/>
        <v>25.11686843590336</v>
      </c>
      <c r="K35" s="276">
        <f t="shared" si="8"/>
        <v>25.11686843590336</v>
      </c>
      <c r="L35" s="276">
        <f t="shared" si="9"/>
        <v>25.11686843590336</v>
      </c>
      <c r="M35" s="276">
        <f t="shared" si="10"/>
        <v>25.11686843590336</v>
      </c>
      <c r="N35" s="276">
        <f t="shared" si="11"/>
        <v>22.840558626389925</v>
      </c>
      <c r="O35" s="42"/>
    </row>
    <row r="36" spans="1:15" x14ac:dyDescent="0.2">
      <c r="A36" s="52">
        <f t="shared" si="3"/>
        <v>20</v>
      </c>
      <c r="B36" s="439" t="str">
        <f t="shared" si="0"/>
        <v>année 20</v>
      </c>
      <c r="C36" s="440">
        <f t="shared" si="1"/>
        <v>1.231039409281361</v>
      </c>
      <c r="D36" s="438">
        <f>E12*C36</f>
        <v>177934.43621752792</v>
      </c>
      <c r="E36" s="438">
        <f t="shared" si="4"/>
        <v>3213792.2741746302</v>
      </c>
      <c r="G36" s="20">
        <f t="shared" si="12"/>
        <v>19</v>
      </c>
      <c r="H36" s="276">
        <f t="shared" si="5"/>
        <v>24.297369798917721</v>
      </c>
      <c r="I36" s="276">
        <f t="shared" si="6"/>
        <v>24.297369798917721</v>
      </c>
      <c r="J36" s="276">
        <f t="shared" si="7"/>
        <v>26.87037448898046</v>
      </c>
      <c r="K36" s="276">
        <f t="shared" si="8"/>
        <v>26.87037448898046</v>
      </c>
      <c r="L36" s="276">
        <f t="shared" si="9"/>
        <v>26.87037448898046</v>
      </c>
      <c r="M36" s="276">
        <f t="shared" si="10"/>
        <v>26.87037448898046</v>
      </c>
      <c r="N36" s="276">
        <f t="shared" si="11"/>
        <v>24.297369798917721</v>
      </c>
      <c r="O36" s="42"/>
    </row>
    <row r="37" spans="1:15" x14ac:dyDescent="0.2">
      <c r="A37" s="52">
        <f t="shared" si="3"/>
        <v>21</v>
      </c>
      <c r="B37" s="439" t="str">
        <f t="shared" si="0"/>
        <v>année 21</v>
      </c>
      <c r="C37" s="440">
        <f t="shared" si="1"/>
        <v>1.2445808427834559</v>
      </c>
      <c r="D37" s="438">
        <f>E12*C37</f>
        <v>179891.71501592072</v>
      </c>
      <c r="E37" s="438">
        <f t="shared" si="4"/>
        <v>3393683.989190551</v>
      </c>
      <c r="G37" s="20">
        <f t="shared" si="12"/>
        <v>20</v>
      </c>
      <c r="H37" s="276">
        <f t="shared" si="5"/>
        <v>25.783317194896075</v>
      </c>
      <c r="I37" s="276">
        <f t="shared" si="6"/>
        <v>25.783317194896075</v>
      </c>
      <c r="J37" s="276">
        <f t="shared" si="7"/>
        <v>28.676485723649872</v>
      </c>
      <c r="K37" s="276">
        <f t="shared" si="8"/>
        <v>28.676485723649872</v>
      </c>
      <c r="L37" s="276">
        <f t="shared" si="9"/>
        <v>28.676485723649872</v>
      </c>
      <c r="M37" s="276">
        <f t="shared" si="10"/>
        <v>28.676485723649872</v>
      </c>
      <c r="N37" s="276">
        <f t="shared" si="11"/>
        <v>25.783317194896075</v>
      </c>
      <c r="O37" s="42"/>
    </row>
    <row r="38" spans="1:15" x14ac:dyDescent="0.2">
      <c r="A38" s="52">
        <f t="shared" si="3"/>
        <v>22</v>
      </c>
      <c r="B38" s="439" t="str">
        <f t="shared" si="0"/>
        <v>année 22</v>
      </c>
      <c r="C38" s="440">
        <f t="shared" si="1"/>
        <v>1.2582712320540737</v>
      </c>
      <c r="D38" s="438">
        <f>E12*C38</f>
        <v>181870.52388109581</v>
      </c>
      <c r="E38" s="438">
        <f t="shared" si="4"/>
        <v>3575554.5130716469</v>
      </c>
      <c r="G38" s="20">
        <f t="shared" si="12"/>
        <v>21</v>
      </c>
      <c r="H38" s="276">
        <f t="shared" si="5"/>
        <v>27.298983538793998</v>
      </c>
      <c r="I38" s="276">
        <f t="shared" si="6"/>
        <v>27.298983538793998</v>
      </c>
      <c r="J38" s="276">
        <f t="shared" si="7"/>
        <v>30.536780295359367</v>
      </c>
      <c r="K38" s="276">
        <f t="shared" si="8"/>
        <v>30.536780295359367</v>
      </c>
      <c r="L38" s="276">
        <f t="shared" si="9"/>
        <v>30.536780295359367</v>
      </c>
      <c r="M38" s="276">
        <f t="shared" si="10"/>
        <v>30.536780295359367</v>
      </c>
      <c r="N38" s="276">
        <f t="shared" si="11"/>
        <v>27.298983538793998</v>
      </c>
      <c r="O38" s="42"/>
    </row>
    <row r="39" spans="1:15" x14ac:dyDescent="0.2">
      <c r="A39" s="52">
        <f t="shared" si="3"/>
        <v>23</v>
      </c>
      <c r="B39" s="439" t="str">
        <f t="shared" si="0"/>
        <v>année 23</v>
      </c>
      <c r="C39" s="440">
        <f t="shared" si="1"/>
        <v>1.2721122156066684</v>
      </c>
      <c r="D39" s="438">
        <f>E12*C39</f>
        <v>183871.09964378786</v>
      </c>
      <c r="E39" s="438">
        <f t="shared" si="4"/>
        <v>3759425.6127154347</v>
      </c>
      <c r="G39" s="20">
        <f t="shared" si="12"/>
        <v>22</v>
      </c>
      <c r="H39" s="276">
        <f t="shared" si="5"/>
        <v>28.844963209569876</v>
      </c>
      <c r="I39" s="276">
        <f t="shared" si="6"/>
        <v>28.844963209569876</v>
      </c>
      <c r="J39" s="276">
        <f t="shared" si="7"/>
        <v>32.452883704220149</v>
      </c>
      <c r="K39" s="276">
        <f t="shared" si="8"/>
        <v>32.452883704220149</v>
      </c>
      <c r="L39" s="276">
        <f t="shared" si="9"/>
        <v>32.452883704220149</v>
      </c>
      <c r="M39" s="276">
        <f t="shared" si="10"/>
        <v>32.452883704220149</v>
      </c>
      <c r="N39" s="276">
        <f t="shared" si="11"/>
        <v>28.844963209569876</v>
      </c>
      <c r="O39" s="42"/>
    </row>
    <row r="40" spans="1:15" x14ac:dyDescent="0.2">
      <c r="A40" s="52">
        <f t="shared" si="3"/>
        <v>24</v>
      </c>
      <c r="B40" s="439" t="str">
        <f t="shared" si="0"/>
        <v>année 24</v>
      </c>
      <c r="C40" s="440">
        <f t="shared" si="1"/>
        <v>1.2861054499783418</v>
      </c>
      <c r="D40" s="438">
        <f>E12*C40</f>
        <v>185893.68173986953</v>
      </c>
      <c r="E40" s="438">
        <f t="shared" si="4"/>
        <v>3945319.2944553043</v>
      </c>
      <c r="G40" s="20">
        <f t="shared" si="12"/>
        <v>23</v>
      </c>
      <c r="H40" s="276">
        <f t="shared" si="5"/>
        <v>30.421862473761273</v>
      </c>
      <c r="I40" s="276">
        <f t="shared" si="6"/>
        <v>30.421862473761273</v>
      </c>
      <c r="J40" s="276">
        <f t="shared" si="7"/>
        <v>34.426470215346754</v>
      </c>
      <c r="K40" s="276">
        <f t="shared" si="8"/>
        <v>34.426470215346754</v>
      </c>
      <c r="L40" s="276">
        <f t="shared" si="9"/>
        <v>34.426470215346754</v>
      </c>
      <c r="M40" s="276">
        <f t="shared" si="10"/>
        <v>34.426470215346754</v>
      </c>
      <c r="N40" s="276">
        <f t="shared" si="11"/>
        <v>30.421862473761273</v>
      </c>
      <c r="O40" s="42"/>
    </row>
    <row r="41" spans="1:15" x14ac:dyDescent="0.2">
      <c r="A41" s="52">
        <f t="shared" si="3"/>
        <v>25</v>
      </c>
      <c r="B41" s="439" t="str">
        <f t="shared" si="0"/>
        <v>année 25</v>
      </c>
      <c r="C41" s="440">
        <f t="shared" si="1"/>
        <v>1.3002526099281035</v>
      </c>
      <c r="D41" s="438">
        <f>E12*C41</f>
        <v>187938.51223900809</v>
      </c>
      <c r="E41" s="438">
        <f t="shared" si="4"/>
        <v>4133257.8066943125</v>
      </c>
      <c r="G41" s="20">
        <f t="shared" si="12"/>
        <v>24</v>
      </c>
      <c r="H41" s="276">
        <f t="shared" si="5"/>
        <v>32.030299723236496</v>
      </c>
      <c r="I41" s="276">
        <f t="shared" si="6"/>
        <v>32.030299723236496</v>
      </c>
      <c r="J41" s="276">
        <f t="shared" si="7"/>
        <v>36.459264321807154</v>
      </c>
      <c r="K41" s="276">
        <f t="shared" si="8"/>
        <v>36.459264321807154</v>
      </c>
      <c r="L41" s="276">
        <f t="shared" si="9"/>
        <v>36.459264321807154</v>
      </c>
      <c r="M41" s="276">
        <f t="shared" si="10"/>
        <v>36.459264321807154</v>
      </c>
      <c r="N41" s="276">
        <f t="shared" si="11"/>
        <v>32.030299723236496</v>
      </c>
      <c r="O41" s="42"/>
    </row>
    <row r="42" spans="1:15" x14ac:dyDescent="0.2">
      <c r="A42" s="52">
        <f t="shared" si="3"/>
        <v>26</v>
      </c>
      <c r="B42" s="439" t="str">
        <f t="shared" si="0"/>
        <v>année 26</v>
      </c>
      <c r="C42" s="440">
        <f t="shared" si="1"/>
        <v>1.3145553886373125</v>
      </c>
      <c r="D42" s="438">
        <f>E12*C42</f>
        <v>190005.83587363714</v>
      </c>
      <c r="E42" s="438">
        <f t="shared" si="4"/>
        <v>4323263.6425679494</v>
      </c>
      <c r="G42" s="20">
        <f t="shared" si="12"/>
        <v>25</v>
      </c>
      <c r="H42" s="276">
        <f t="shared" si="5"/>
        <v>33.670905717701224</v>
      </c>
      <c r="I42" s="276">
        <f t="shared" si="6"/>
        <v>33.670905717701224</v>
      </c>
      <c r="J42" s="276">
        <f t="shared" si="7"/>
        <v>38.55304225146137</v>
      </c>
      <c r="K42" s="276">
        <f t="shared" si="8"/>
        <v>38.55304225146137</v>
      </c>
      <c r="L42" s="276">
        <f t="shared" si="9"/>
        <v>38.55304225146137</v>
      </c>
      <c r="M42" s="276">
        <f t="shared" si="10"/>
        <v>38.55304225146137</v>
      </c>
      <c r="N42" s="276">
        <f t="shared" si="11"/>
        <v>33.670905717701224</v>
      </c>
      <c r="O42" s="42"/>
    </row>
    <row r="43" spans="1:15" x14ac:dyDescent="0.2">
      <c r="A43" s="52">
        <f t="shared" si="3"/>
        <v>27</v>
      </c>
      <c r="B43" s="439" t="str">
        <f t="shared" si="0"/>
        <v>année 27</v>
      </c>
      <c r="C43" s="440">
        <f t="shared" si="1"/>
        <v>1.3290154979123228</v>
      </c>
      <c r="D43" s="438">
        <f>E12*C43</f>
        <v>192095.90006824714</v>
      </c>
      <c r="E43" s="438">
        <f t="shared" si="4"/>
        <v>4515359.5426361961</v>
      </c>
      <c r="G43" s="20">
        <f t="shared" si="12"/>
        <v>26</v>
      </c>
      <c r="H43" s="276">
        <f t="shared" si="5"/>
        <v>35.344323832055245</v>
      </c>
      <c r="I43" s="276">
        <f t="shared" si="6"/>
        <v>35.344323832055245</v>
      </c>
      <c r="J43" s="276">
        <f t="shared" si="7"/>
        <v>40.709633519005209</v>
      </c>
      <c r="K43" s="276">
        <f t="shared" si="8"/>
        <v>40.709633519005209</v>
      </c>
      <c r="L43" s="276">
        <f t="shared" si="9"/>
        <v>40.709633519005209</v>
      </c>
      <c r="M43" s="276">
        <f t="shared" si="10"/>
        <v>40.709633519005209</v>
      </c>
      <c r="N43" s="276">
        <f t="shared" si="11"/>
        <v>35.344323832055245</v>
      </c>
      <c r="O43" s="42"/>
    </row>
    <row r="44" spans="1:15" x14ac:dyDescent="0.2">
      <c r="A44" s="52">
        <f t="shared" si="3"/>
        <v>28</v>
      </c>
      <c r="B44" s="439" t="str">
        <f t="shared" si="0"/>
        <v>année 28</v>
      </c>
      <c r="C44" s="440">
        <f t="shared" si="1"/>
        <v>1.3436346683893583</v>
      </c>
      <c r="D44" s="438">
        <f>E12*C44</f>
        <v>194208.95496899786</v>
      </c>
      <c r="E44" s="438">
        <f t="shared" si="4"/>
        <v>4709568.4976051943</v>
      </c>
      <c r="G44" s="20">
        <f t="shared" si="12"/>
        <v>27</v>
      </c>
      <c r="H44" s="276">
        <f t="shared" si="5"/>
        <v>37.051210308696348</v>
      </c>
      <c r="I44" s="276">
        <f t="shared" si="6"/>
        <v>37.051210308696348</v>
      </c>
      <c r="J44" s="276">
        <f t="shared" si="7"/>
        <v>42.930922524575365</v>
      </c>
      <c r="K44" s="276">
        <f t="shared" si="8"/>
        <v>42.930922524575365</v>
      </c>
      <c r="L44" s="276">
        <f t="shared" si="9"/>
        <v>42.930922524575365</v>
      </c>
      <c r="M44" s="276">
        <f t="shared" si="10"/>
        <v>42.930922524575365</v>
      </c>
      <c r="N44" s="276">
        <f t="shared" si="11"/>
        <v>37.051210308696348</v>
      </c>
      <c r="O44" s="42"/>
    </row>
    <row r="45" spans="1:15" x14ac:dyDescent="0.2">
      <c r="A45" s="52">
        <f t="shared" si="3"/>
        <v>29</v>
      </c>
      <c r="B45" s="439" t="str">
        <f t="shared" si="0"/>
        <v>année 29</v>
      </c>
      <c r="C45" s="440">
        <f t="shared" si="1"/>
        <v>1.3584146497416414</v>
      </c>
      <c r="D45" s="438">
        <f>E12*C45</f>
        <v>196345.25347365683</v>
      </c>
      <c r="E45" s="438">
        <f t="shared" si="4"/>
        <v>4905913.7510788515</v>
      </c>
      <c r="G45" s="20">
        <f t="shared" si="12"/>
        <v>28</v>
      </c>
      <c r="H45" s="276">
        <f t="shared" si="5"/>
        <v>38.792234514870273</v>
      </c>
      <c r="I45" s="276">
        <f t="shared" si="6"/>
        <v>38.792234514870273</v>
      </c>
      <c r="J45" s="276">
        <f t="shared" si="7"/>
        <v>45.218850200312623</v>
      </c>
      <c r="K45" s="276">
        <f t="shared" si="8"/>
        <v>45.218850200312623</v>
      </c>
      <c r="L45" s="276">
        <f t="shared" si="9"/>
        <v>45.218850200312623</v>
      </c>
      <c r="M45" s="276">
        <f t="shared" si="10"/>
        <v>45.218850200312623</v>
      </c>
      <c r="N45" s="276">
        <f t="shared" si="11"/>
        <v>38.792234514870273</v>
      </c>
      <c r="O45" s="42"/>
    </row>
    <row r="46" spans="1:15" x14ac:dyDescent="0.2">
      <c r="A46" s="52">
        <f t="shared" si="3"/>
        <v>30</v>
      </c>
      <c r="B46" s="439" t="str">
        <f t="shared" si="0"/>
        <v>année 30</v>
      </c>
      <c r="C46" s="440">
        <f t="shared" si="1"/>
        <v>1.373357210888799</v>
      </c>
      <c r="D46" s="438">
        <f>E12*C46</f>
        <v>198505.05126186702</v>
      </c>
      <c r="E46" s="438">
        <f t="shared" si="4"/>
        <v>5104418.8023407189</v>
      </c>
      <c r="G46" s="20">
        <f t="shared" si="12"/>
        <v>29</v>
      </c>
      <c r="H46" s="276">
        <f t="shared" si="5"/>
        <v>40.568079205167678</v>
      </c>
      <c r="I46" s="276">
        <f t="shared" si="6"/>
        <v>40.568079205167678</v>
      </c>
      <c r="J46" s="276">
        <f t="shared" si="7"/>
        <v>47.575415706321998</v>
      </c>
      <c r="K46" s="276">
        <f t="shared" si="8"/>
        <v>47.575415706321998</v>
      </c>
      <c r="L46" s="276">
        <f t="shared" si="9"/>
        <v>47.575415706321998</v>
      </c>
      <c r="M46" s="276">
        <f t="shared" si="10"/>
        <v>47.575415706321998</v>
      </c>
      <c r="N46" s="276">
        <f t="shared" si="11"/>
        <v>40.568079205167678</v>
      </c>
      <c r="O46" s="42"/>
    </row>
    <row r="47" spans="1:15" x14ac:dyDescent="0.2">
      <c r="A47" s="52">
        <f t="shared" si="3"/>
        <v>31</v>
      </c>
      <c r="B47" s="439" t="str">
        <f t="shared" si="0"/>
        <v>année 31</v>
      </c>
      <c r="C47" s="440">
        <f t="shared" si="1"/>
        <v>1.3884641402085758</v>
      </c>
      <c r="D47" s="438">
        <f>E12*C47</f>
        <v>200688.60682574756</v>
      </c>
      <c r="E47" s="438">
        <f t="shared" si="4"/>
        <v>5305107.4091664664</v>
      </c>
      <c r="G47" s="20">
        <f t="shared" si="12"/>
        <v>30</v>
      </c>
      <c r="H47" s="276">
        <f t="shared" si="5"/>
        <v>42.37944078927103</v>
      </c>
      <c r="I47" s="276">
        <f t="shared" si="6"/>
        <v>42.37944078927103</v>
      </c>
      <c r="J47" s="276">
        <f t="shared" si="7"/>
        <v>50.002678177511655</v>
      </c>
      <c r="K47" s="276">
        <f t="shared" si="8"/>
        <v>50.002678177511655</v>
      </c>
      <c r="L47" s="276">
        <f t="shared" si="9"/>
        <v>50.002678177511655</v>
      </c>
      <c r="M47" s="276">
        <f t="shared" si="10"/>
        <v>50.002678177511655</v>
      </c>
      <c r="N47" s="276">
        <f t="shared" si="11"/>
        <v>42.37944078927103</v>
      </c>
      <c r="O47" s="42"/>
    </row>
    <row r="48" spans="1:15" x14ac:dyDescent="0.2">
      <c r="A48" s="52">
        <f t="shared" si="3"/>
        <v>32</v>
      </c>
      <c r="B48" s="439" t="str">
        <f t="shared" si="0"/>
        <v>année 32</v>
      </c>
      <c r="C48" s="440">
        <f t="shared" si="1"/>
        <v>1.4037372457508699</v>
      </c>
      <c r="D48" s="438">
        <f>E12*C48</f>
        <v>202896.18150083075</v>
      </c>
      <c r="E48" s="438">
        <f t="shared" si="4"/>
        <v>5508003.5906672971</v>
      </c>
      <c r="G48" s="20">
        <f t="shared" si="12"/>
        <v>31</v>
      </c>
      <c r="H48" s="276">
        <f t="shared" si="5"/>
        <v>44.227029605056451</v>
      </c>
      <c r="I48" s="276">
        <f t="shared" si="6"/>
        <v>44.227029605056451</v>
      </c>
      <c r="J48" s="276">
        <f t="shared" si="7"/>
        <v>52.502758522837006</v>
      </c>
      <c r="K48" s="276">
        <f t="shared" si="8"/>
        <v>52.502758522837006</v>
      </c>
      <c r="L48" s="276">
        <f t="shared" si="9"/>
        <v>52.502758522837006</v>
      </c>
      <c r="M48" s="276">
        <f t="shared" si="10"/>
        <v>52.502758522837006</v>
      </c>
      <c r="N48" s="276">
        <f t="shared" si="11"/>
        <v>44.227029605056451</v>
      </c>
      <c r="O48" s="42"/>
    </row>
    <row r="49" spans="1:15" x14ac:dyDescent="0.2">
      <c r="A49" s="52">
        <f t="shared" si="3"/>
        <v>33</v>
      </c>
      <c r="B49" s="439" t="str">
        <f t="shared" ref="B49:B76" si="13">CONCATENATE("année ",A49)</f>
        <v>année 33</v>
      </c>
      <c r="C49" s="440">
        <f t="shared" ref="C49:C76" si="14">(1+$E$8)^(A49-1)</f>
        <v>1.4191783554541295</v>
      </c>
      <c r="D49" s="438">
        <f>E12*C49</f>
        <v>205128.03949733989</v>
      </c>
      <c r="E49" s="438">
        <f t="shared" si="4"/>
        <v>5713131.6301646372</v>
      </c>
      <c r="G49" s="20">
        <f t="shared" si="12"/>
        <v>32</v>
      </c>
      <c r="H49" s="276">
        <f t="shared" si="5"/>
        <v>46.111570197157583</v>
      </c>
      <c r="I49" s="276">
        <f t="shared" si="6"/>
        <v>46.111570197157583</v>
      </c>
      <c r="J49" s="276">
        <f t="shared" si="7"/>
        <v>55.077841278522115</v>
      </c>
      <c r="K49" s="276">
        <f t="shared" si="8"/>
        <v>55.077841278522115</v>
      </c>
      <c r="L49" s="276">
        <f t="shared" si="9"/>
        <v>55.077841278522115</v>
      </c>
      <c r="M49" s="276">
        <f t="shared" si="10"/>
        <v>55.077841278522115</v>
      </c>
      <c r="N49" s="276">
        <f t="shared" si="11"/>
        <v>46.111570197157583</v>
      </c>
      <c r="O49" s="42"/>
    </row>
    <row r="50" spans="1:15" x14ac:dyDescent="0.2">
      <c r="A50" s="52">
        <f t="shared" ref="A50:A76" si="15">+A49+1</f>
        <v>34</v>
      </c>
      <c r="B50" s="439" t="str">
        <f t="shared" si="13"/>
        <v>année 34</v>
      </c>
      <c r="C50" s="440">
        <f t="shared" si="14"/>
        <v>1.4347893173641248</v>
      </c>
      <c r="D50" s="438">
        <f>E12*C50</f>
        <v>207384.4479318106</v>
      </c>
      <c r="E50" s="438">
        <f t="shared" ref="E50:E76" si="16">+D50+E49</f>
        <v>5920516.0780964475</v>
      </c>
      <c r="G50" s="20">
        <f t="shared" si="12"/>
        <v>33</v>
      </c>
      <c r="H50" s="276">
        <f t="shared" ref="H50:H76" si="17">(1+H$8)^$G50+H49</f>
        <v>48.033801601100734</v>
      </c>
      <c r="I50" s="276">
        <f t="shared" ref="I50:I76" si="18">(1+I$8)^$G50+I49</f>
        <v>48.033801601100734</v>
      </c>
      <c r="J50" s="276">
        <f t="shared" ref="J50:J76" si="19">(1+J$8)^$G50+J49</f>
        <v>57.730176516877776</v>
      </c>
      <c r="K50" s="276">
        <f t="shared" ref="K50:K76" si="20">(1+K$8)^$G50+K49</f>
        <v>57.730176516877776</v>
      </c>
      <c r="L50" s="276">
        <f t="shared" ref="L50:L76" si="21">(1+L$8)^$G50+L49</f>
        <v>57.730176516877776</v>
      </c>
      <c r="M50" s="276">
        <f t="shared" ref="M50:M76" si="22">(1+M$8)^$G50+M49</f>
        <v>57.730176516877776</v>
      </c>
      <c r="N50" s="276">
        <f t="shared" ref="N50:N76" si="23">(1+N$8)^$G50+N49</f>
        <v>48.033801601100734</v>
      </c>
      <c r="O50" s="42"/>
    </row>
    <row r="51" spans="1:15" x14ac:dyDescent="0.2">
      <c r="A51" s="52">
        <f t="shared" si="15"/>
        <v>35</v>
      </c>
      <c r="B51" s="439" t="str">
        <f t="shared" si="13"/>
        <v>année 35</v>
      </c>
      <c r="C51" s="440">
        <f t="shared" si="14"/>
        <v>1.4505719998551301</v>
      </c>
      <c r="D51" s="438">
        <f>E12*C51</f>
        <v>209665.67685906051</v>
      </c>
      <c r="E51" s="438">
        <f t="shared" si="16"/>
        <v>6130181.7549555078</v>
      </c>
      <c r="G51" s="20">
        <f t="shared" ref="G51:G76" si="24">+G50+1</f>
        <v>34</v>
      </c>
      <c r="H51" s="276">
        <f t="shared" si="17"/>
        <v>49.994477633122749</v>
      </c>
      <c r="I51" s="276">
        <f t="shared" si="18"/>
        <v>49.994477633122749</v>
      </c>
      <c r="J51" s="276">
        <f t="shared" si="19"/>
        <v>60.462081812384106</v>
      </c>
      <c r="K51" s="276">
        <f t="shared" si="20"/>
        <v>60.462081812384106</v>
      </c>
      <c r="L51" s="276">
        <f t="shared" si="21"/>
        <v>60.462081812384106</v>
      </c>
      <c r="M51" s="276">
        <f t="shared" si="22"/>
        <v>60.462081812384106</v>
      </c>
      <c r="N51" s="276">
        <f t="shared" si="23"/>
        <v>49.994477633122749</v>
      </c>
      <c r="O51" s="42"/>
    </row>
    <row r="52" spans="1:15" x14ac:dyDescent="0.2">
      <c r="A52" s="52">
        <f t="shared" si="15"/>
        <v>36</v>
      </c>
      <c r="B52" s="439" t="str">
        <f t="shared" si="13"/>
        <v>année 36</v>
      </c>
      <c r="C52" s="440">
        <f t="shared" si="14"/>
        <v>1.4665282918535365</v>
      </c>
      <c r="D52" s="438">
        <f>E12*C52</f>
        <v>211971.99930451016</v>
      </c>
      <c r="E52" s="438">
        <f t="shared" si="16"/>
        <v>6342153.7542600175</v>
      </c>
      <c r="G52" s="20">
        <f t="shared" si="24"/>
        <v>35</v>
      </c>
      <c r="H52" s="276">
        <f t="shared" si="17"/>
        <v>51.994367185785201</v>
      </c>
      <c r="I52" s="276">
        <f t="shared" si="18"/>
        <v>51.994367185785201</v>
      </c>
      <c r="J52" s="276">
        <f t="shared" si="19"/>
        <v>63.27594426675563</v>
      </c>
      <c r="K52" s="276">
        <f t="shared" si="20"/>
        <v>63.27594426675563</v>
      </c>
      <c r="L52" s="276">
        <f t="shared" si="21"/>
        <v>63.27594426675563</v>
      </c>
      <c r="M52" s="276">
        <f t="shared" si="22"/>
        <v>63.27594426675563</v>
      </c>
      <c r="N52" s="276">
        <f t="shared" si="23"/>
        <v>51.994367185785201</v>
      </c>
      <c r="O52" s="42"/>
    </row>
    <row r="53" spans="1:15" x14ac:dyDescent="0.2">
      <c r="A53" s="52">
        <f t="shared" si="15"/>
        <v>37</v>
      </c>
      <c r="B53" s="439" t="str">
        <f t="shared" si="13"/>
        <v>année 37</v>
      </c>
      <c r="C53" s="440">
        <f t="shared" si="14"/>
        <v>1.4826601030639253</v>
      </c>
      <c r="D53" s="438">
        <f>E12*C53</f>
        <v>214303.69129685976</v>
      </c>
      <c r="E53" s="438">
        <f t="shared" si="16"/>
        <v>6556457.4455568772</v>
      </c>
      <c r="G53" s="20">
        <f t="shared" si="24"/>
        <v>36</v>
      </c>
      <c r="H53" s="276">
        <f t="shared" si="17"/>
        <v>54.034254529500906</v>
      </c>
      <c r="I53" s="276">
        <f t="shared" si="18"/>
        <v>54.034254529500906</v>
      </c>
      <c r="J53" s="276">
        <f t="shared" si="19"/>
        <v>66.174222594758305</v>
      </c>
      <c r="K53" s="276">
        <f t="shared" si="20"/>
        <v>66.174222594758305</v>
      </c>
      <c r="L53" s="276">
        <f t="shared" si="21"/>
        <v>66.174222594758305</v>
      </c>
      <c r="M53" s="276">
        <f t="shared" si="22"/>
        <v>66.174222594758305</v>
      </c>
      <c r="N53" s="276">
        <f t="shared" si="23"/>
        <v>54.034254529500906</v>
      </c>
      <c r="O53" s="42"/>
    </row>
    <row r="54" spans="1:15" x14ac:dyDescent="0.2">
      <c r="A54" s="52">
        <f t="shared" si="15"/>
        <v>38</v>
      </c>
      <c r="B54" s="439" t="str">
        <f t="shared" si="13"/>
        <v>année 38</v>
      </c>
      <c r="C54" s="440">
        <f t="shared" si="14"/>
        <v>1.4989693641976283</v>
      </c>
      <c r="D54" s="438">
        <f>E12*C54</f>
        <v>216661.03190112518</v>
      </c>
      <c r="E54" s="438">
        <f t="shared" si="16"/>
        <v>6773118.477458002</v>
      </c>
      <c r="G54" s="20">
        <f t="shared" si="24"/>
        <v>37</v>
      </c>
      <c r="H54" s="276">
        <f t="shared" si="17"/>
        <v>56.114939620090922</v>
      </c>
      <c r="I54" s="276">
        <f t="shared" si="18"/>
        <v>56.114939620090922</v>
      </c>
      <c r="J54" s="276">
        <f t="shared" si="19"/>
        <v>69.159449272601051</v>
      </c>
      <c r="K54" s="276">
        <f t="shared" si="20"/>
        <v>69.159449272601051</v>
      </c>
      <c r="L54" s="276">
        <f t="shared" si="21"/>
        <v>69.159449272601051</v>
      </c>
      <c r="M54" s="276">
        <f t="shared" si="22"/>
        <v>69.159449272601051</v>
      </c>
      <c r="N54" s="276">
        <f t="shared" si="23"/>
        <v>56.114939620090922</v>
      </c>
      <c r="O54" s="42"/>
    </row>
    <row r="55" spans="1:15" x14ac:dyDescent="0.2">
      <c r="A55" s="52">
        <f t="shared" si="15"/>
        <v>39</v>
      </c>
      <c r="B55" s="439" t="str">
        <f t="shared" si="13"/>
        <v>année 39</v>
      </c>
      <c r="C55" s="440">
        <f t="shared" si="14"/>
        <v>1.5154580272038023</v>
      </c>
      <c r="D55" s="438">
        <f>E12*C55</f>
        <v>219044.30325203759</v>
      </c>
      <c r="E55" s="438">
        <f t="shared" si="16"/>
        <v>6992162.7807100397</v>
      </c>
      <c r="G55" s="20">
        <f t="shared" si="24"/>
        <v>38</v>
      </c>
      <c r="H55" s="276">
        <f t="shared" si="17"/>
        <v>58.237238412492744</v>
      </c>
      <c r="I55" s="276">
        <f t="shared" si="18"/>
        <v>58.237238412492744</v>
      </c>
      <c r="J55" s="276">
        <f t="shared" si="19"/>
        <v>72.234232750779086</v>
      </c>
      <c r="K55" s="276">
        <f t="shared" si="20"/>
        <v>72.234232750779086</v>
      </c>
      <c r="L55" s="276">
        <f t="shared" si="21"/>
        <v>72.234232750779086</v>
      </c>
      <c r="M55" s="276">
        <f t="shared" si="22"/>
        <v>72.234232750779086</v>
      </c>
      <c r="N55" s="276">
        <f t="shared" si="23"/>
        <v>58.237238412492744</v>
      </c>
      <c r="O55" s="42"/>
    </row>
    <row r="56" spans="1:15" x14ac:dyDescent="0.2">
      <c r="A56" s="52">
        <f t="shared" si="15"/>
        <v>40</v>
      </c>
      <c r="B56" s="439" t="str">
        <f t="shared" si="13"/>
        <v>année 40</v>
      </c>
      <c r="C56" s="440">
        <f t="shared" si="14"/>
        <v>1.532128065503044</v>
      </c>
      <c r="D56" s="438">
        <f>E12*C56</f>
        <v>221453.79058780998</v>
      </c>
      <c r="E56" s="438">
        <f t="shared" si="16"/>
        <v>7213616.5712978495</v>
      </c>
      <c r="G56" s="20">
        <f t="shared" si="24"/>
        <v>39</v>
      </c>
      <c r="H56" s="276">
        <f t="shared" si="17"/>
        <v>60.401983180742597</v>
      </c>
      <c r="I56" s="276">
        <f t="shared" si="18"/>
        <v>60.401983180742597</v>
      </c>
      <c r="J56" s="276">
        <f t="shared" si="19"/>
        <v>75.401259733302453</v>
      </c>
      <c r="K56" s="276">
        <f t="shared" si="20"/>
        <v>75.401259733302453</v>
      </c>
      <c r="L56" s="276">
        <f t="shared" si="21"/>
        <v>75.401259733302453</v>
      </c>
      <c r="M56" s="276">
        <f t="shared" si="22"/>
        <v>75.401259733302453</v>
      </c>
      <c r="N56" s="276">
        <f t="shared" si="23"/>
        <v>60.401983180742597</v>
      </c>
      <c r="O56" s="42"/>
    </row>
    <row r="57" spans="1:15" x14ac:dyDescent="0.2">
      <c r="A57" s="52">
        <f t="shared" si="15"/>
        <v>41</v>
      </c>
      <c r="B57" s="439" t="str">
        <f t="shared" si="13"/>
        <v>année 41</v>
      </c>
      <c r="C57" s="440">
        <f t="shared" si="14"/>
        <v>1.5489814742235772</v>
      </c>
      <c r="D57" s="438">
        <f>E12*C57</f>
        <v>223889.78228427586</v>
      </c>
      <c r="E57" s="438">
        <f t="shared" si="16"/>
        <v>7437506.3535821252</v>
      </c>
      <c r="G57" s="20">
        <f t="shared" si="24"/>
        <v>40</v>
      </c>
      <c r="H57" s="276">
        <f t="shared" si="17"/>
        <v>62.610022844357452</v>
      </c>
      <c r="I57" s="276">
        <f t="shared" si="18"/>
        <v>62.610022844357452</v>
      </c>
      <c r="J57" s="276">
        <f t="shared" si="19"/>
        <v>78.66329752530153</v>
      </c>
      <c r="K57" s="276">
        <f t="shared" si="20"/>
        <v>78.66329752530153</v>
      </c>
      <c r="L57" s="276">
        <f t="shared" si="21"/>
        <v>78.66329752530153</v>
      </c>
      <c r="M57" s="276">
        <f t="shared" si="22"/>
        <v>78.66329752530153</v>
      </c>
      <c r="N57" s="276">
        <f t="shared" si="23"/>
        <v>62.610022844357452</v>
      </c>
      <c r="O57" s="42"/>
    </row>
    <row r="58" spans="1:15" x14ac:dyDescent="0.2">
      <c r="A58" s="52">
        <f t="shared" si="15"/>
        <v>42</v>
      </c>
      <c r="B58" s="439" t="str">
        <f t="shared" si="13"/>
        <v>année 42</v>
      </c>
      <c r="C58" s="440">
        <f t="shared" si="14"/>
        <v>1.5660202704400366</v>
      </c>
      <c r="D58" s="438">
        <f>E12*C58</f>
        <v>226352.56988940289</v>
      </c>
      <c r="E58" s="438">
        <f t="shared" si="16"/>
        <v>7663858.9234715281</v>
      </c>
      <c r="G58" s="20">
        <f t="shared" si="24"/>
        <v>41</v>
      </c>
      <c r="H58" s="276">
        <f t="shared" si="17"/>
        <v>64.862223301244597</v>
      </c>
      <c r="I58" s="276">
        <f t="shared" si="18"/>
        <v>64.862223301244597</v>
      </c>
      <c r="J58" s="276">
        <f t="shared" si="19"/>
        <v>82.023196451060571</v>
      </c>
      <c r="K58" s="276">
        <f t="shared" si="20"/>
        <v>82.023196451060571</v>
      </c>
      <c r="L58" s="276">
        <f t="shared" si="21"/>
        <v>82.023196451060571</v>
      </c>
      <c r="M58" s="276">
        <f t="shared" si="22"/>
        <v>82.023196451060571</v>
      </c>
      <c r="N58" s="276">
        <f t="shared" si="23"/>
        <v>64.862223301244597</v>
      </c>
      <c r="O58" s="42"/>
    </row>
    <row r="59" spans="1:15" x14ac:dyDescent="0.2">
      <c r="A59" s="52">
        <f t="shared" si="15"/>
        <v>43</v>
      </c>
      <c r="B59" s="439" t="str">
        <f t="shared" si="13"/>
        <v>année 43</v>
      </c>
      <c r="C59" s="440">
        <f t="shared" si="14"/>
        <v>1.5832464934148767</v>
      </c>
      <c r="D59" s="438">
        <f>E12*C59</f>
        <v>228842.44815818628</v>
      </c>
      <c r="E59" s="438">
        <f t="shared" si="16"/>
        <v>7892701.371629714</v>
      </c>
      <c r="G59" s="20">
        <f t="shared" si="24"/>
        <v>42</v>
      </c>
      <c r="H59" s="276">
        <f t="shared" si="17"/>
        <v>67.15946776726949</v>
      </c>
      <c r="I59" s="276">
        <f t="shared" si="18"/>
        <v>67.15946776726949</v>
      </c>
      <c r="J59" s="276">
        <f t="shared" si="19"/>
        <v>85.483892344592391</v>
      </c>
      <c r="K59" s="276">
        <f t="shared" si="20"/>
        <v>85.483892344592391</v>
      </c>
      <c r="L59" s="276">
        <f t="shared" si="21"/>
        <v>85.483892344592391</v>
      </c>
      <c r="M59" s="276">
        <f t="shared" si="22"/>
        <v>85.483892344592391</v>
      </c>
      <c r="N59" s="276">
        <f t="shared" si="23"/>
        <v>67.15946776726949</v>
      </c>
      <c r="O59" s="42"/>
    </row>
    <row r="60" spans="1:15" x14ac:dyDescent="0.2">
      <c r="A60" s="52">
        <f t="shared" si="15"/>
        <v>44</v>
      </c>
      <c r="B60" s="439" t="str">
        <f t="shared" si="13"/>
        <v>année 44</v>
      </c>
      <c r="C60" s="440">
        <f t="shared" si="14"/>
        <v>1.6006622048424404</v>
      </c>
      <c r="D60" s="438">
        <f>E12*C60</f>
        <v>231359.71508792634</v>
      </c>
      <c r="E60" s="438">
        <f t="shared" si="16"/>
        <v>8124061.08671764</v>
      </c>
      <c r="G60" s="20">
        <f t="shared" si="24"/>
        <v>43</v>
      </c>
      <c r="H60" s="276">
        <f t="shared" si="17"/>
        <v>69.502657122614877</v>
      </c>
      <c r="I60" s="276">
        <f t="shared" si="18"/>
        <v>69.502657122614877</v>
      </c>
      <c r="J60" s="276">
        <f t="shared" si="19"/>
        <v>89.048409114930166</v>
      </c>
      <c r="K60" s="276">
        <f t="shared" si="20"/>
        <v>89.048409114930166</v>
      </c>
      <c r="L60" s="276">
        <f t="shared" si="21"/>
        <v>89.048409114930166</v>
      </c>
      <c r="M60" s="276">
        <f t="shared" si="22"/>
        <v>89.048409114930166</v>
      </c>
      <c r="N60" s="276">
        <f t="shared" si="23"/>
        <v>69.502657122614877</v>
      </c>
      <c r="O60" s="42"/>
    </row>
    <row r="61" spans="1:15" x14ac:dyDescent="0.2">
      <c r="A61" s="52">
        <f t="shared" si="15"/>
        <v>45</v>
      </c>
      <c r="B61" s="439" t="str">
        <f t="shared" si="13"/>
        <v>année 45</v>
      </c>
      <c r="C61" s="440">
        <f t="shared" si="14"/>
        <v>1.6182694890957072</v>
      </c>
      <c r="D61" s="438">
        <f>E12*C61</f>
        <v>233904.67195389353</v>
      </c>
      <c r="E61" s="438">
        <f t="shared" si="16"/>
        <v>8357965.7586715333</v>
      </c>
      <c r="G61" s="20">
        <f t="shared" si="24"/>
        <v>44</v>
      </c>
      <c r="H61" s="276">
        <f t="shared" si="17"/>
        <v>71.89271026506718</v>
      </c>
      <c r="I61" s="276">
        <f t="shared" si="18"/>
        <v>71.89271026506718</v>
      </c>
      <c r="J61" s="276">
        <f t="shared" si="19"/>
        <v>92.719861388378064</v>
      </c>
      <c r="K61" s="276">
        <f t="shared" si="20"/>
        <v>92.719861388378064</v>
      </c>
      <c r="L61" s="276">
        <f t="shared" si="21"/>
        <v>92.719861388378064</v>
      </c>
      <c r="M61" s="276">
        <f t="shared" si="22"/>
        <v>92.719861388378064</v>
      </c>
      <c r="N61" s="276">
        <f t="shared" si="23"/>
        <v>71.89271026506718</v>
      </c>
      <c r="O61" s="42"/>
    </row>
    <row r="62" spans="1:15" x14ac:dyDescent="0.2">
      <c r="A62" s="52">
        <f t="shared" si="15"/>
        <v>46</v>
      </c>
      <c r="B62" s="439" t="str">
        <f t="shared" si="13"/>
        <v>année 46</v>
      </c>
      <c r="C62" s="440">
        <f t="shared" si="14"/>
        <v>1.6360704534757597</v>
      </c>
      <c r="D62" s="438">
        <f>E12*C62</f>
        <v>236477.62334538632</v>
      </c>
      <c r="E62" s="438">
        <f t="shared" si="16"/>
        <v>8594443.3820169196</v>
      </c>
      <c r="G62" s="20">
        <f t="shared" si="24"/>
        <v>45</v>
      </c>
      <c r="H62" s="276">
        <f t="shared" si="17"/>
        <v>74.330564470368529</v>
      </c>
      <c r="I62" s="276">
        <f t="shared" si="18"/>
        <v>74.330564470368529</v>
      </c>
      <c r="J62" s="276">
        <f t="shared" si="19"/>
        <v>96.501457230029402</v>
      </c>
      <c r="K62" s="276">
        <f t="shared" si="20"/>
        <v>96.501457230029402</v>
      </c>
      <c r="L62" s="276">
        <f t="shared" si="21"/>
        <v>96.501457230029402</v>
      </c>
      <c r="M62" s="276">
        <f t="shared" si="22"/>
        <v>96.501457230029402</v>
      </c>
      <c r="N62" s="276">
        <f t="shared" si="23"/>
        <v>74.330564470368529</v>
      </c>
      <c r="O62" s="42"/>
    </row>
    <row r="63" spans="1:15" x14ac:dyDescent="0.2">
      <c r="A63" s="52">
        <f t="shared" si="15"/>
        <v>47</v>
      </c>
      <c r="B63" s="439" t="str">
        <f t="shared" si="13"/>
        <v>année 47</v>
      </c>
      <c r="C63" s="440">
        <f t="shared" si="14"/>
        <v>1.654067228463993</v>
      </c>
      <c r="D63" s="438">
        <f>E12*C63</f>
        <v>239078.87720218554</v>
      </c>
      <c r="E63" s="438">
        <f t="shared" si="16"/>
        <v>8833522.2592191044</v>
      </c>
      <c r="G63" s="20">
        <f t="shared" si="24"/>
        <v>46</v>
      </c>
      <c r="H63" s="276">
        <f t="shared" si="17"/>
        <v>76.817175759775893</v>
      </c>
      <c r="I63" s="276">
        <f t="shared" si="18"/>
        <v>76.817175759775893</v>
      </c>
      <c r="J63" s="276">
        <f t="shared" si="19"/>
        <v>100.39650094693029</v>
      </c>
      <c r="K63" s="276">
        <f t="shared" si="20"/>
        <v>100.39650094693029</v>
      </c>
      <c r="L63" s="276">
        <f t="shared" si="21"/>
        <v>100.39650094693029</v>
      </c>
      <c r="M63" s="276">
        <f t="shared" si="22"/>
        <v>100.39650094693029</v>
      </c>
      <c r="N63" s="276">
        <f t="shared" si="23"/>
        <v>76.817175759775893</v>
      </c>
      <c r="O63" s="42"/>
    </row>
    <row r="64" spans="1:15" x14ac:dyDescent="0.2">
      <c r="A64" s="52">
        <f t="shared" si="15"/>
        <v>48</v>
      </c>
      <c r="B64" s="439" t="str">
        <f t="shared" si="13"/>
        <v>année 48</v>
      </c>
      <c r="C64" s="440">
        <f t="shared" si="14"/>
        <v>1.6722619679770967</v>
      </c>
      <c r="D64" s="438">
        <f>E12*C64</f>
        <v>241708.74485140954</v>
      </c>
      <c r="E64" s="438">
        <f t="shared" si="16"/>
        <v>9075231.0040705148</v>
      </c>
      <c r="G64" s="20">
        <f t="shared" si="24"/>
        <v>47</v>
      </c>
      <c r="H64" s="276">
        <f t="shared" si="17"/>
        <v>79.353519274971404</v>
      </c>
      <c r="I64" s="276">
        <f t="shared" si="18"/>
        <v>79.353519274971404</v>
      </c>
      <c r="J64" s="276">
        <f t="shared" si="19"/>
        <v>104.40839597533819</v>
      </c>
      <c r="K64" s="276">
        <f t="shared" si="20"/>
        <v>104.40839597533819</v>
      </c>
      <c r="L64" s="276">
        <f t="shared" si="21"/>
        <v>104.40839597533819</v>
      </c>
      <c r="M64" s="276">
        <f t="shared" si="22"/>
        <v>104.40839597533819</v>
      </c>
      <c r="N64" s="276">
        <f t="shared" si="23"/>
        <v>79.353519274971404</v>
      </c>
      <c r="O64" s="42"/>
    </row>
    <row r="65" spans="1:15" x14ac:dyDescent="0.2">
      <c r="A65" s="52">
        <f t="shared" si="15"/>
        <v>49</v>
      </c>
      <c r="B65" s="439" t="str">
        <f t="shared" si="13"/>
        <v>année 49</v>
      </c>
      <c r="C65" s="440">
        <f t="shared" si="14"/>
        <v>1.6906568496248446</v>
      </c>
      <c r="D65" s="438">
        <f>E12*C65</f>
        <v>244367.54104477505</v>
      </c>
      <c r="E65" s="438">
        <f t="shared" si="16"/>
        <v>9319598.5451152902</v>
      </c>
      <c r="G65" s="20">
        <f t="shared" si="24"/>
        <v>48</v>
      </c>
      <c r="H65" s="276">
        <f t="shared" si="17"/>
        <v>81.940589660470835</v>
      </c>
      <c r="I65" s="276">
        <f t="shared" si="18"/>
        <v>81.940589660470835</v>
      </c>
      <c r="J65" s="276">
        <f t="shared" si="19"/>
        <v>108.54064785459833</v>
      </c>
      <c r="K65" s="276">
        <f t="shared" si="20"/>
        <v>108.54064785459833</v>
      </c>
      <c r="L65" s="276">
        <f t="shared" si="21"/>
        <v>108.54064785459833</v>
      </c>
      <c r="M65" s="276">
        <f t="shared" si="22"/>
        <v>108.54064785459833</v>
      </c>
      <c r="N65" s="276">
        <f t="shared" si="23"/>
        <v>81.940589660470835</v>
      </c>
      <c r="O65" s="42"/>
    </row>
    <row r="66" spans="1:15" x14ac:dyDescent="0.2">
      <c r="A66" s="52">
        <f t="shared" si="15"/>
        <v>50</v>
      </c>
      <c r="B66" s="439" t="str">
        <f t="shared" si="13"/>
        <v>année 50</v>
      </c>
      <c r="C66" s="440">
        <f t="shared" si="14"/>
        <v>1.7092540749707179</v>
      </c>
      <c r="D66" s="438">
        <f>E12*C66</f>
        <v>247055.58399626755</v>
      </c>
      <c r="E66" s="438">
        <f t="shared" si="16"/>
        <v>9566654.1291115582</v>
      </c>
      <c r="G66" s="20">
        <f t="shared" si="24"/>
        <v>49</v>
      </c>
      <c r="H66" s="276">
        <f t="shared" si="17"/>
        <v>84.579401453680248</v>
      </c>
      <c r="I66" s="276">
        <f t="shared" si="18"/>
        <v>84.579401453680248</v>
      </c>
      <c r="J66" s="276">
        <f t="shared" si="19"/>
        <v>112.79686729023628</v>
      </c>
      <c r="K66" s="276">
        <f t="shared" si="20"/>
        <v>112.79686729023628</v>
      </c>
      <c r="L66" s="276">
        <f t="shared" si="21"/>
        <v>112.79686729023628</v>
      </c>
      <c r="M66" s="276">
        <f t="shared" si="22"/>
        <v>112.79686729023628</v>
      </c>
      <c r="N66" s="276">
        <f t="shared" si="23"/>
        <v>84.579401453680248</v>
      </c>
      <c r="O66" s="42"/>
    </row>
    <row r="67" spans="1:15" x14ac:dyDescent="0.2">
      <c r="A67" s="52">
        <f t="shared" si="15"/>
        <v>51</v>
      </c>
      <c r="B67" s="439" t="str">
        <f t="shared" si="13"/>
        <v>année 51</v>
      </c>
      <c r="C67" s="440">
        <f t="shared" si="14"/>
        <v>1.7280558697953956</v>
      </c>
      <c r="D67" s="438">
        <f>E12*C67</f>
        <v>249773.19542022649</v>
      </c>
      <c r="E67" s="438">
        <f t="shared" si="16"/>
        <v>9816427.3245317843</v>
      </c>
      <c r="G67" s="20">
        <f t="shared" si="24"/>
        <v>50</v>
      </c>
      <c r="H67" s="276">
        <f t="shared" si="17"/>
        <v>87.270989482753848</v>
      </c>
      <c r="I67" s="276">
        <f t="shared" si="18"/>
        <v>87.270989482753848</v>
      </c>
      <c r="J67" s="276">
        <f t="shared" si="19"/>
        <v>117.18077330894336</v>
      </c>
      <c r="K67" s="276">
        <f t="shared" si="20"/>
        <v>117.18077330894336</v>
      </c>
      <c r="L67" s="276">
        <f t="shared" si="21"/>
        <v>117.18077330894336</v>
      </c>
      <c r="M67" s="276">
        <f t="shared" si="22"/>
        <v>117.18077330894336</v>
      </c>
      <c r="N67" s="276">
        <f t="shared" si="23"/>
        <v>87.270989482753848</v>
      </c>
      <c r="O67" s="42"/>
    </row>
    <row r="68" spans="1:15" x14ac:dyDescent="0.2">
      <c r="A68" s="52">
        <f t="shared" si="15"/>
        <v>52</v>
      </c>
      <c r="B68" s="439" t="str">
        <f t="shared" si="13"/>
        <v>année 52</v>
      </c>
      <c r="C68" s="440">
        <f t="shared" si="14"/>
        <v>1.7470644843631451</v>
      </c>
      <c r="D68" s="438">
        <f>E12*C68</f>
        <v>252520.700569849</v>
      </c>
      <c r="E68" s="438">
        <f t="shared" si="16"/>
        <v>10068948.025101634</v>
      </c>
      <c r="G68" s="20">
        <f t="shared" si="24"/>
        <v>51</v>
      </c>
      <c r="H68" s="276">
        <f t="shared" si="17"/>
        <v>90.016409272408922</v>
      </c>
      <c r="I68" s="276">
        <f t="shared" si="18"/>
        <v>90.016409272408922</v>
      </c>
      <c r="J68" s="276">
        <f t="shared" si="19"/>
        <v>121.69619650821166</v>
      </c>
      <c r="K68" s="276">
        <f t="shared" si="20"/>
        <v>121.69619650821166</v>
      </c>
      <c r="L68" s="276">
        <f t="shared" si="21"/>
        <v>121.69619650821166</v>
      </c>
      <c r="M68" s="276">
        <f t="shared" si="22"/>
        <v>121.69619650821166</v>
      </c>
      <c r="N68" s="276">
        <f t="shared" si="23"/>
        <v>90.016409272408922</v>
      </c>
      <c r="O68" s="42"/>
    </row>
    <row r="69" spans="1:15" x14ac:dyDescent="0.2">
      <c r="A69" s="52">
        <f t="shared" si="15"/>
        <v>53</v>
      </c>
      <c r="B69" s="439" t="str">
        <f t="shared" si="13"/>
        <v>année 53</v>
      </c>
      <c r="C69" s="440">
        <f t="shared" si="14"/>
        <v>1.7662821936911395</v>
      </c>
      <c r="D69" s="438">
        <f>E12*C69</f>
        <v>255298.42827611731</v>
      </c>
      <c r="E69" s="438">
        <f t="shared" si="16"/>
        <v>10324246.453377752</v>
      </c>
      <c r="G69" s="20">
        <f t="shared" si="24"/>
        <v>52</v>
      </c>
      <c r="H69" s="276">
        <f t="shared" si="17"/>
        <v>92.816737457857101</v>
      </c>
      <c r="I69" s="276">
        <f t="shared" si="18"/>
        <v>92.816737457857101</v>
      </c>
      <c r="J69" s="276">
        <f t="shared" si="19"/>
        <v>126.347082403458</v>
      </c>
      <c r="K69" s="276">
        <f t="shared" si="20"/>
        <v>126.347082403458</v>
      </c>
      <c r="L69" s="276">
        <f t="shared" si="21"/>
        <v>126.347082403458</v>
      </c>
      <c r="M69" s="276">
        <f t="shared" si="22"/>
        <v>126.347082403458</v>
      </c>
      <c r="N69" s="276">
        <f t="shared" si="23"/>
        <v>92.816737457857101</v>
      </c>
      <c r="O69" s="42"/>
    </row>
    <row r="70" spans="1:15" x14ac:dyDescent="0.2">
      <c r="A70" s="52">
        <f t="shared" si="15"/>
        <v>54</v>
      </c>
      <c r="B70" s="439" t="str">
        <f t="shared" si="13"/>
        <v>année 54</v>
      </c>
      <c r="C70" s="440">
        <f t="shared" si="14"/>
        <v>1.7857112978217415</v>
      </c>
      <c r="D70" s="438">
        <f>E12*C70</f>
        <v>258106.71098715451</v>
      </c>
      <c r="E70" s="438">
        <f t="shared" si="16"/>
        <v>10582353.164364906</v>
      </c>
      <c r="G70" s="20">
        <f t="shared" si="24"/>
        <v>53</v>
      </c>
      <c r="H70" s="276">
        <f t="shared" si="17"/>
        <v>95.673072207014243</v>
      </c>
      <c r="I70" s="276">
        <f t="shared" si="18"/>
        <v>95.673072207014243</v>
      </c>
      <c r="J70" s="276">
        <f t="shared" si="19"/>
        <v>131.13749487556174</v>
      </c>
      <c r="K70" s="276">
        <f t="shared" si="20"/>
        <v>131.13749487556174</v>
      </c>
      <c r="L70" s="276">
        <f t="shared" si="21"/>
        <v>131.13749487556174</v>
      </c>
      <c r="M70" s="276">
        <f t="shared" si="22"/>
        <v>131.13749487556174</v>
      </c>
      <c r="N70" s="276">
        <f t="shared" si="23"/>
        <v>95.673072207014243</v>
      </c>
      <c r="O70" s="42"/>
    </row>
    <row r="71" spans="1:15" x14ac:dyDescent="0.2">
      <c r="A71" s="52">
        <f t="shared" si="15"/>
        <v>55</v>
      </c>
      <c r="B71" s="439" t="str">
        <f t="shared" si="13"/>
        <v>année 55</v>
      </c>
      <c r="C71" s="440">
        <f t="shared" si="14"/>
        <v>1.8053541220977807</v>
      </c>
      <c r="D71" s="438">
        <f>E12*C71</f>
        <v>260945.88480801322</v>
      </c>
      <c r="E71" s="438">
        <f t="shared" si="16"/>
        <v>10843299.049172919</v>
      </c>
      <c r="G71" s="20">
        <f t="shared" si="24"/>
        <v>54</v>
      </c>
      <c r="H71" s="276">
        <f t="shared" si="17"/>
        <v>98.586533651154525</v>
      </c>
      <c r="I71" s="276">
        <f t="shared" si="18"/>
        <v>98.586533651154525</v>
      </c>
      <c r="J71" s="276">
        <f t="shared" si="19"/>
        <v>136.0716197218286</v>
      </c>
      <c r="K71" s="276">
        <f t="shared" si="20"/>
        <v>136.0716197218286</v>
      </c>
      <c r="L71" s="276">
        <f t="shared" si="21"/>
        <v>136.0716197218286</v>
      </c>
      <c r="M71" s="276">
        <f t="shared" si="22"/>
        <v>136.0716197218286</v>
      </c>
      <c r="N71" s="276">
        <f t="shared" si="23"/>
        <v>98.586533651154525</v>
      </c>
      <c r="O71" s="42"/>
    </row>
    <row r="72" spans="1:15" x14ac:dyDescent="0.2">
      <c r="A72" s="52">
        <f t="shared" si="15"/>
        <v>56</v>
      </c>
      <c r="B72" s="439" t="str">
        <f t="shared" si="13"/>
        <v>année 56</v>
      </c>
      <c r="C72" s="440">
        <f t="shared" si="14"/>
        <v>1.8252130174408563</v>
      </c>
      <c r="D72" s="438">
        <f>E12*C72</f>
        <v>263816.28954090137</v>
      </c>
      <c r="E72" s="438">
        <f t="shared" si="16"/>
        <v>11107115.338713821</v>
      </c>
      <c r="G72" s="20">
        <f t="shared" si="24"/>
        <v>55</v>
      </c>
      <c r="H72" s="276">
        <f t="shared" si="17"/>
        <v>101.55826432417761</v>
      </c>
      <c r="I72" s="276">
        <f t="shared" si="18"/>
        <v>101.55826432417761</v>
      </c>
      <c r="J72" s="276">
        <f t="shared" si="19"/>
        <v>141.15376831348345</v>
      </c>
      <c r="K72" s="276">
        <f t="shared" si="20"/>
        <v>141.15376831348345</v>
      </c>
      <c r="L72" s="276">
        <f t="shared" si="21"/>
        <v>141.15376831348345</v>
      </c>
      <c r="M72" s="276">
        <f t="shared" si="22"/>
        <v>141.15376831348345</v>
      </c>
      <c r="N72" s="276">
        <f t="shared" si="23"/>
        <v>101.55826432417761</v>
      </c>
    </row>
    <row r="73" spans="1:15" x14ac:dyDescent="0.2">
      <c r="A73" s="52">
        <f t="shared" si="15"/>
        <v>57</v>
      </c>
      <c r="B73" s="439" t="str">
        <f t="shared" si="13"/>
        <v>année 57</v>
      </c>
      <c r="C73" s="440">
        <f t="shared" si="14"/>
        <v>1.8452903606327058</v>
      </c>
      <c r="D73" s="438">
        <f>E12*C73</f>
        <v>266718.26872585132</v>
      </c>
      <c r="E73" s="438">
        <f t="shared" si="16"/>
        <v>11373833.607439673</v>
      </c>
      <c r="G73" s="20">
        <f t="shared" si="24"/>
        <v>56</v>
      </c>
      <c r="H73" s="276">
        <f t="shared" si="17"/>
        <v>104.58942961066117</v>
      </c>
      <c r="I73" s="276">
        <f t="shared" si="18"/>
        <v>104.58942961066117</v>
      </c>
      <c r="J73" s="276">
        <f t="shared" si="19"/>
        <v>146.38838136288794</v>
      </c>
      <c r="K73" s="276">
        <f t="shared" si="20"/>
        <v>146.38838136288794</v>
      </c>
      <c r="L73" s="276">
        <f t="shared" si="21"/>
        <v>146.38838136288794</v>
      </c>
      <c r="M73" s="276">
        <f t="shared" si="22"/>
        <v>146.38838136288794</v>
      </c>
      <c r="N73" s="276">
        <f t="shared" si="23"/>
        <v>104.58942961066117</v>
      </c>
    </row>
    <row r="74" spans="1:15" x14ac:dyDescent="0.2">
      <c r="A74" s="52">
        <f t="shared" si="15"/>
        <v>58</v>
      </c>
      <c r="B74" s="439" t="str">
        <f t="shared" si="13"/>
        <v>année 58</v>
      </c>
      <c r="C74" s="440">
        <f t="shared" si="14"/>
        <v>1.8655885545996651</v>
      </c>
      <c r="D74" s="438">
        <f>E12*C74</f>
        <v>269652.16968183557</v>
      </c>
      <c r="E74" s="438">
        <f t="shared" si="16"/>
        <v>11643485.777121508</v>
      </c>
      <c r="G74" s="20">
        <f t="shared" si="24"/>
        <v>57</v>
      </c>
      <c r="H74" s="276">
        <f t="shared" si="17"/>
        <v>107.68121820287439</v>
      </c>
      <c r="I74" s="276">
        <f t="shared" si="18"/>
        <v>107.68121820287439</v>
      </c>
      <c r="J74" s="276">
        <f t="shared" si="19"/>
        <v>151.78003280377459</v>
      </c>
      <c r="K74" s="276">
        <f t="shared" si="20"/>
        <v>151.78003280377459</v>
      </c>
      <c r="L74" s="276">
        <f t="shared" si="21"/>
        <v>151.78003280377459</v>
      </c>
      <c r="M74" s="276">
        <f t="shared" si="22"/>
        <v>151.78003280377459</v>
      </c>
      <c r="N74" s="276">
        <f t="shared" si="23"/>
        <v>107.68121820287439</v>
      </c>
    </row>
    <row r="75" spans="1:15" x14ac:dyDescent="0.2">
      <c r="A75" s="52">
        <f t="shared" si="15"/>
        <v>59</v>
      </c>
      <c r="B75" s="439" t="str">
        <f t="shared" si="13"/>
        <v>année 59</v>
      </c>
      <c r="C75" s="440">
        <f t="shared" si="14"/>
        <v>1.8861100287002612</v>
      </c>
      <c r="D75" s="438">
        <f>E12*C75</f>
        <v>272618.34354833578</v>
      </c>
      <c r="E75" s="438">
        <f t="shared" si="16"/>
        <v>11916104.120669844</v>
      </c>
      <c r="G75" s="20">
        <f t="shared" si="24"/>
        <v>58</v>
      </c>
      <c r="H75" s="276">
        <f t="shared" si="17"/>
        <v>110.83484256693188</v>
      </c>
      <c r="I75" s="276">
        <f t="shared" si="18"/>
        <v>110.83484256693188</v>
      </c>
      <c r="J75" s="276">
        <f t="shared" si="19"/>
        <v>157.33343378788783</v>
      </c>
      <c r="K75" s="276">
        <f t="shared" si="20"/>
        <v>157.33343378788783</v>
      </c>
      <c r="L75" s="276">
        <f t="shared" si="21"/>
        <v>157.33343378788783</v>
      </c>
      <c r="M75" s="276">
        <f t="shared" si="22"/>
        <v>157.33343378788783</v>
      </c>
      <c r="N75" s="276">
        <f t="shared" si="23"/>
        <v>110.83484256693188</v>
      </c>
    </row>
    <row r="76" spans="1:15" x14ac:dyDescent="0.2">
      <c r="A76" s="52">
        <f t="shared" si="15"/>
        <v>60</v>
      </c>
      <c r="B76" s="439" t="str">
        <f t="shared" si="13"/>
        <v>année 60</v>
      </c>
      <c r="C76" s="440">
        <f t="shared" si="14"/>
        <v>1.9068572390159642</v>
      </c>
      <c r="D76" s="438">
        <f>E12*C76</f>
        <v>275617.14532736747</v>
      </c>
      <c r="E76" s="438">
        <f t="shared" si="16"/>
        <v>12191721.265997211</v>
      </c>
      <c r="G76" s="20">
        <f t="shared" si="24"/>
        <v>59</v>
      </c>
      <c r="H76" s="276">
        <f t="shared" si="17"/>
        <v>114.05153941827052</v>
      </c>
      <c r="I76" s="276">
        <f t="shared" si="18"/>
        <v>114.05153941827052</v>
      </c>
      <c r="J76" s="276">
        <f t="shared" si="19"/>
        <v>163.05343680152447</v>
      </c>
      <c r="K76" s="276">
        <f t="shared" si="20"/>
        <v>163.05343680152447</v>
      </c>
      <c r="L76" s="276">
        <f t="shared" si="21"/>
        <v>163.05343680152447</v>
      </c>
      <c r="M76" s="276">
        <f t="shared" si="22"/>
        <v>163.05343680152447</v>
      </c>
      <c r="N76" s="276">
        <f t="shared" si="23"/>
        <v>114.05153941827052</v>
      </c>
    </row>
  </sheetData>
  <sheetProtection password="C434" sheet="1" objects="1" scenarios="1"/>
  <mergeCells count="6">
    <mergeCell ref="B14:D14"/>
    <mergeCell ref="B8:D8"/>
    <mergeCell ref="B9:D9"/>
    <mergeCell ref="B10:D10"/>
    <mergeCell ref="B11:D11"/>
    <mergeCell ref="B12:D12"/>
  </mergeCells>
  <pageMargins left="0.25" right="0.25" top="0.75" bottom="0.75" header="0.3" footer="0.3"/>
  <pageSetup paperSize="8" scale="9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4:F735"/>
  <sheetViews>
    <sheetView showGridLines="0" showZeros="0" zoomScaleNormal="100" workbookViewId="0"/>
  </sheetViews>
  <sheetFormatPr baseColWidth="10" defaultRowHeight="12.75" x14ac:dyDescent="0.2"/>
  <cols>
    <col min="1" max="1" width="2.75" style="46" customWidth="1"/>
    <col min="2" max="2" width="20.75" style="46" customWidth="1"/>
    <col min="3" max="5" width="15.75" style="46" customWidth="1"/>
    <col min="6" max="6" width="5.75" style="46" customWidth="1"/>
  </cols>
  <sheetData>
    <row r="4" spans="1:6" x14ac:dyDescent="0.2">
      <c r="B4" s="51"/>
    </row>
    <row r="5" spans="1:6" s="779" customFormat="1" ht="16.5" thickBot="1" x14ac:dyDescent="0.3">
      <c r="A5" s="629"/>
      <c r="B5" s="776" t="s">
        <v>557</v>
      </c>
      <c r="C5" s="777"/>
      <c r="D5" s="629"/>
      <c r="E5" s="629"/>
      <c r="F5" s="778"/>
    </row>
    <row r="6" spans="1:6" x14ac:dyDescent="0.2">
      <c r="B6" s="51"/>
    </row>
    <row r="7" spans="1:6" x14ac:dyDescent="0.2">
      <c r="B7" s="444" t="s">
        <v>553</v>
      </c>
      <c r="C7" s="532">
        <f>MONTANT_EMPRUNT</f>
        <v>400000</v>
      </c>
    </row>
    <row r="8" spans="1:6" x14ac:dyDescent="0.2">
      <c r="B8" s="444" t="s">
        <v>554</v>
      </c>
      <c r="C8" s="533">
        <f>tx_emprunt</f>
        <v>3.5000000000000003E-2</v>
      </c>
    </row>
    <row r="9" spans="1:6" x14ac:dyDescent="0.2">
      <c r="B9" s="444" t="s">
        <v>602</v>
      </c>
      <c r="C9" s="434">
        <f>DUREE_EMPRUNT*12</f>
        <v>180</v>
      </c>
      <c r="D9" s="24"/>
    </row>
    <row r="10" spans="1:6" x14ac:dyDescent="0.2">
      <c r="B10" s="444" t="s">
        <v>570</v>
      </c>
      <c r="C10" s="596">
        <f>PMT(C8/12,C9,C7)</f>
        <v>-2859.5301653727006</v>
      </c>
    </row>
    <row r="12" spans="1:6" x14ac:dyDescent="0.2">
      <c r="B12" s="434"/>
      <c r="C12" s="535" t="s">
        <v>551</v>
      </c>
      <c r="D12" s="535" t="s">
        <v>560</v>
      </c>
    </row>
    <row r="13" spans="1:6" x14ac:dyDescent="0.2">
      <c r="B13" s="444" t="s">
        <v>559</v>
      </c>
      <c r="C13" s="568">
        <f>SUM(C16:C735)</f>
        <v>114715.42976708601</v>
      </c>
      <c r="D13" s="568">
        <f>SUM(D16:D735)</f>
        <v>-399999.99999999983</v>
      </c>
    </row>
    <row r="14" spans="1:6" x14ac:dyDescent="0.2">
      <c r="E14" s="534"/>
    </row>
    <row r="15" spans="1:6" ht="25.5" x14ac:dyDescent="0.2">
      <c r="A15" s="45"/>
      <c r="B15" s="535" t="s">
        <v>558</v>
      </c>
      <c r="C15" s="535" t="s">
        <v>555</v>
      </c>
      <c r="D15" s="535" t="s">
        <v>556</v>
      </c>
      <c r="E15" s="535" t="s">
        <v>735</v>
      </c>
      <c r="F15" s="45"/>
    </row>
    <row r="16" spans="1:6" x14ac:dyDescent="0.2">
      <c r="B16" s="559">
        <v>1</v>
      </c>
      <c r="C16" s="560">
        <f>C7*C8/12</f>
        <v>1166.6666666666667</v>
      </c>
      <c r="D16" s="536">
        <f>C10+C16</f>
        <v>-1692.8634987060339</v>
      </c>
      <c r="E16" s="560">
        <f>C7+D16</f>
        <v>398307.13650129398</v>
      </c>
    </row>
    <row r="17" spans="2:5" x14ac:dyDescent="0.2">
      <c r="B17" s="535">
        <v>2</v>
      </c>
      <c r="C17" s="560">
        <f>IF(B17&gt;$C$9,,E16*$C$8/12)</f>
        <v>1161.7291481287741</v>
      </c>
      <c r="D17" s="536">
        <f>IF(B17&gt;$C$9,,$C$10+C17)</f>
        <v>-1697.8010172439265</v>
      </c>
      <c r="E17" s="560">
        <f>E16+D17</f>
        <v>396609.33548405004</v>
      </c>
    </row>
    <row r="18" spans="2:5" x14ac:dyDescent="0.2">
      <c r="B18" s="535">
        <v>3</v>
      </c>
      <c r="C18" s="560">
        <f t="shared" ref="C18:C81" si="0">IF(B18&gt;$C$9,,E17*$C$8/12)</f>
        <v>1156.7772284951461</v>
      </c>
      <c r="D18" s="536">
        <f t="shared" ref="D18:D81" si="1">IF(B18&gt;$C$9,,$C$10+C18)</f>
        <v>-1702.7529368775545</v>
      </c>
      <c r="E18" s="560">
        <f t="shared" ref="E18:E81" si="2">E17+D18</f>
        <v>394906.5825471725</v>
      </c>
    </row>
    <row r="19" spans="2:5" x14ac:dyDescent="0.2">
      <c r="B19" s="535">
        <v>4</v>
      </c>
      <c r="C19" s="560">
        <f t="shared" si="0"/>
        <v>1151.8108657625864</v>
      </c>
      <c r="D19" s="536">
        <f t="shared" si="1"/>
        <v>-1707.7192996101141</v>
      </c>
      <c r="E19" s="560">
        <f t="shared" si="2"/>
        <v>393198.86324756237</v>
      </c>
    </row>
    <row r="20" spans="2:5" x14ac:dyDescent="0.2">
      <c r="B20" s="535">
        <v>5</v>
      </c>
      <c r="C20" s="560">
        <f t="shared" si="0"/>
        <v>1146.8300178053903</v>
      </c>
      <c r="D20" s="536">
        <f t="shared" si="1"/>
        <v>-1712.7001475673103</v>
      </c>
      <c r="E20" s="560">
        <f t="shared" si="2"/>
        <v>391486.16309999506</v>
      </c>
    </row>
    <row r="21" spans="2:5" x14ac:dyDescent="0.2">
      <c r="B21" s="535">
        <v>6</v>
      </c>
      <c r="C21" s="560">
        <f t="shared" si="0"/>
        <v>1141.8346423749856</v>
      </c>
      <c r="D21" s="536">
        <f t="shared" si="1"/>
        <v>-1717.695522997715</v>
      </c>
      <c r="E21" s="560">
        <f t="shared" si="2"/>
        <v>389768.46757699735</v>
      </c>
    </row>
    <row r="22" spans="2:5" x14ac:dyDescent="0.2">
      <c r="B22" s="535">
        <v>7</v>
      </c>
      <c r="C22" s="560">
        <f t="shared" si="0"/>
        <v>1136.8246970995758</v>
      </c>
      <c r="D22" s="536">
        <f t="shared" si="1"/>
        <v>-1722.7054682731248</v>
      </c>
      <c r="E22" s="560">
        <f t="shared" si="2"/>
        <v>388045.76210872422</v>
      </c>
    </row>
    <row r="23" spans="2:5" x14ac:dyDescent="0.2">
      <c r="B23" s="535">
        <v>8</v>
      </c>
      <c r="C23" s="560">
        <f t="shared" si="0"/>
        <v>1131.800139483779</v>
      </c>
      <c r="D23" s="536">
        <f t="shared" si="1"/>
        <v>-1727.7300258889215</v>
      </c>
      <c r="E23" s="560">
        <f t="shared" si="2"/>
        <v>386318.03208283527</v>
      </c>
    </row>
    <row r="24" spans="2:5" x14ac:dyDescent="0.2">
      <c r="B24" s="535">
        <v>9</v>
      </c>
      <c r="C24" s="560">
        <f t="shared" si="0"/>
        <v>1126.7609269082698</v>
      </c>
      <c r="D24" s="536">
        <f t="shared" si="1"/>
        <v>-1732.7692384644308</v>
      </c>
      <c r="E24" s="560">
        <f t="shared" si="2"/>
        <v>384585.26284437085</v>
      </c>
    </row>
    <row r="25" spans="2:5" x14ac:dyDescent="0.2">
      <c r="B25" s="535">
        <v>10</v>
      </c>
      <c r="C25" s="560">
        <f t="shared" si="0"/>
        <v>1121.707016629415</v>
      </c>
      <c r="D25" s="536">
        <f t="shared" si="1"/>
        <v>-1737.8231487432856</v>
      </c>
      <c r="E25" s="560">
        <f t="shared" si="2"/>
        <v>382847.43969562755</v>
      </c>
    </row>
    <row r="26" spans="2:5" x14ac:dyDescent="0.2">
      <c r="B26" s="535">
        <v>11</v>
      </c>
      <c r="C26" s="560">
        <f t="shared" si="0"/>
        <v>1116.6383657789138</v>
      </c>
      <c r="D26" s="536">
        <f t="shared" si="1"/>
        <v>-1742.8917995937868</v>
      </c>
      <c r="E26" s="560">
        <f t="shared" si="2"/>
        <v>381104.54789603374</v>
      </c>
    </row>
    <row r="27" spans="2:5" x14ac:dyDescent="0.2">
      <c r="B27" s="535">
        <v>12</v>
      </c>
      <c r="C27" s="560">
        <f t="shared" si="0"/>
        <v>1111.5549313634317</v>
      </c>
      <c r="D27" s="536">
        <f t="shared" si="1"/>
        <v>-1747.9752340092689</v>
      </c>
      <c r="E27" s="560">
        <f t="shared" si="2"/>
        <v>379356.57266202447</v>
      </c>
    </row>
    <row r="28" spans="2:5" x14ac:dyDescent="0.2">
      <c r="B28" s="535">
        <v>13</v>
      </c>
      <c r="C28" s="560">
        <f t="shared" si="0"/>
        <v>1106.456670264238</v>
      </c>
      <c r="D28" s="536">
        <f t="shared" si="1"/>
        <v>-1753.0734951084626</v>
      </c>
      <c r="E28" s="560">
        <f t="shared" si="2"/>
        <v>377603.49916691601</v>
      </c>
    </row>
    <row r="29" spans="2:5" x14ac:dyDescent="0.2">
      <c r="B29" s="535">
        <v>14</v>
      </c>
      <c r="C29" s="560">
        <f t="shared" si="0"/>
        <v>1101.3435392368385</v>
      </c>
      <c r="D29" s="536">
        <f t="shared" si="1"/>
        <v>-1758.1866261358621</v>
      </c>
      <c r="E29" s="560">
        <f t="shared" si="2"/>
        <v>375845.31254078017</v>
      </c>
    </row>
    <row r="30" spans="2:5" x14ac:dyDescent="0.2">
      <c r="B30" s="535">
        <v>15</v>
      </c>
      <c r="C30" s="560">
        <f t="shared" si="0"/>
        <v>1096.2154949106089</v>
      </c>
      <c r="D30" s="536">
        <f t="shared" si="1"/>
        <v>-1763.3146704620917</v>
      </c>
      <c r="E30" s="560">
        <f t="shared" si="2"/>
        <v>374081.99787031807</v>
      </c>
    </row>
    <row r="31" spans="2:5" x14ac:dyDescent="0.2">
      <c r="B31" s="535">
        <v>16</v>
      </c>
      <c r="C31" s="560">
        <f t="shared" si="0"/>
        <v>1091.0724937884277</v>
      </c>
      <c r="D31" s="536">
        <f t="shared" si="1"/>
        <v>-1768.4576715842729</v>
      </c>
      <c r="E31" s="560">
        <f t="shared" si="2"/>
        <v>372313.5401987338</v>
      </c>
    </row>
    <row r="32" spans="2:5" x14ac:dyDescent="0.2">
      <c r="B32" s="535">
        <v>17</v>
      </c>
      <c r="C32" s="560">
        <f t="shared" si="0"/>
        <v>1085.914492246307</v>
      </c>
      <c r="D32" s="536">
        <f t="shared" si="1"/>
        <v>-1773.6156731263936</v>
      </c>
      <c r="E32" s="560">
        <f t="shared" si="2"/>
        <v>370539.92452560738</v>
      </c>
    </row>
    <row r="33" spans="2:5" x14ac:dyDescent="0.2">
      <c r="B33" s="535">
        <v>18</v>
      </c>
      <c r="C33" s="560">
        <f t="shared" si="0"/>
        <v>1080.7414465330216</v>
      </c>
      <c r="D33" s="536">
        <f t="shared" si="1"/>
        <v>-1778.7887188396789</v>
      </c>
      <c r="E33" s="560">
        <f t="shared" si="2"/>
        <v>368761.13580676768</v>
      </c>
    </row>
    <row r="34" spans="2:5" x14ac:dyDescent="0.2">
      <c r="B34" s="535">
        <v>19</v>
      </c>
      <c r="C34" s="560">
        <f t="shared" si="0"/>
        <v>1075.5533127697393</v>
      </c>
      <c r="D34" s="536">
        <f t="shared" si="1"/>
        <v>-1783.9768526029613</v>
      </c>
      <c r="E34" s="560">
        <f t="shared" si="2"/>
        <v>366977.15895416471</v>
      </c>
    </row>
    <row r="35" spans="2:5" x14ac:dyDescent="0.2">
      <c r="B35" s="535">
        <v>20</v>
      </c>
      <c r="C35" s="560">
        <f t="shared" si="0"/>
        <v>1070.3500469496473</v>
      </c>
      <c r="D35" s="536">
        <f t="shared" si="1"/>
        <v>-1789.1801184230533</v>
      </c>
      <c r="E35" s="560">
        <f t="shared" si="2"/>
        <v>365187.97883574164</v>
      </c>
    </row>
    <row r="36" spans="2:5" x14ac:dyDescent="0.2">
      <c r="B36" s="535">
        <v>21</v>
      </c>
      <c r="C36" s="560">
        <f t="shared" si="0"/>
        <v>1065.1316049375798</v>
      </c>
      <c r="D36" s="536">
        <f t="shared" si="1"/>
        <v>-1794.3985604351208</v>
      </c>
      <c r="E36" s="560">
        <f t="shared" si="2"/>
        <v>363393.58027530654</v>
      </c>
    </row>
    <row r="37" spans="2:5" x14ac:dyDescent="0.2">
      <c r="B37" s="535">
        <v>22</v>
      </c>
      <c r="C37" s="560">
        <f t="shared" si="0"/>
        <v>1059.8979424696442</v>
      </c>
      <c r="D37" s="536">
        <f t="shared" si="1"/>
        <v>-1799.6322229030563</v>
      </c>
      <c r="E37" s="560">
        <f t="shared" si="2"/>
        <v>361593.94805240346</v>
      </c>
    </row>
    <row r="38" spans="2:5" x14ac:dyDescent="0.2">
      <c r="B38" s="535">
        <v>23</v>
      </c>
      <c r="C38" s="560">
        <f t="shared" si="0"/>
        <v>1054.6490151528435</v>
      </c>
      <c r="D38" s="536">
        <f t="shared" si="1"/>
        <v>-1804.8811502198571</v>
      </c>
      <c r="E38" s="560">
        <f t="shared" si="2"/>
        <v>359789.06690218358</v>
      </c>
    </row>
    <row r="39" spans="2:5" x14ac:dyDescent="0.2">
      <c r="B39" s="535">
        <v>24</v>
      </c>
      <c r="C39" s="560">
        <f t="shared" si="0"/>
        <v>1049.3847784647021</v>
      </c>
      <c r="D39" s="536">
        <f t="shared" si="1"/>
        <v>-1810.1453869079985</v>
      </c>
      <c r="E39" s="560">
        <f t="shared" si="2"/>
        <v>357978.92151527561</v>
      </c>
    </row>
    <row r="40" spans="2:5" x14ac:dyDescent="0.2">
      <c r="B40" s="535">
        <v>25</v>
      </c>
      <c r="C40" s="560">
        <f t="shared" si="0"/>
        <v>1044.1051877528873</v>
      </c>
      <c r="D40" s="536">
        <f t="shared" si="1"/>
        <v>-1815.4249776198133</v>
      </c>
      <c r="E40" s="560">
        <f t="shared" si="2"/>
        <v>356163.49653765577</v>
      </c>
    </row>
    <row r="41" spans="2:5" x14ac:dyDescent="0.2">
      <c r="B41" s="535">
        <v>26</v>
      </c>
      <c r="C41" s="560">
        <f t="shared" si="0"/>
        <v>1038.8101982348294</v>
      </c>
      <c r="D41" s="536">
        <f t="shared" si="1"/>
        <v>-1820.7199671378712</v>
      </c>
      <c r="E41" s="560">
        <f t="shared" si="2"/>
        <v>354342.77657051792</v>
      </c>
    </row>
    <row r="42" spans="2:5" x14ac:dyDescent="0.2">
      <c r="B42" s="535">
        <v>27</v>
      </c>
      <c r="C42" s="560">
        <f t="shared" si="0"/>
        <v>1033.4997649973441</v>
      </c>
      <c r="D42" s="536">
        <f t="shared" si="1"/>
        <v>-1826.0304003753565</v>
      </c>
      <c r="E42" s="560">
        <f t="shared" si="2"/>
        <v>352516.74617014255</v>
      </c>
    </row>
    <row r="43" spans="2:5" x14ac:dyDescent="0.2">
      <c r="B43" s="535">
        <v>28</v>
      </c>
      <c r="C43" s="560">
        <f t="shared" si="0"/>
        <v>1028.173842996249</v>
      </c>
      <c r="D43" s="536">
        <f t="shared" si="1"/>
        <v>-1831.3563223764515</v>
      </c>
      <c r="E43" s="560">
        <f t="shared" si="2"/>
        <v>350685.38984776608</v>
      </c>
    </row>
    <row r="44" spans="2:5" x14ac:dyDescent="0.2">
      <c r="B44" s="535">
        <v>29</v>
      </c>
      <c r="C44" s="560">
        <f t="shared" si="0"/>
        <v>1022.8323870559844</v>
      </c>
      <c r="D44" s="536">
        <f t="shared" si="1"/>
        <v>-1836.6977783167163</v>
      </c>
      <c r="E44" s="560">
        <f t="shared" si="2"/>
        <v>348848.69206944935</v>
      </c>
    </row>
    <row r="45" spans="2:5" x14ac:dyDescent="0.2">
      <c r="B45" s="535">
        <v>30</v>
      </c>
      <c r="C45" s="560">
        <f t="shared" si="0"/>
        <v>1017.4753518692273</v>
      </c>
      <c r="D45" s="536">
        <f t="shared" si="1"/>
        <v>-1842.0548135034733</v>
      </c>
      <c r="E45" s="560">
        <f t="shared" si="2"/>
        <v>347006.63725594588</v>
      </c>
    </row>
    <row r="46" spans="2:5" x14ac:dyDescent="0.2">
      <c r="B46" s="535">
        <v>31</v>
      </c>
      <c r="C46" s="560">
        <f t="shared" si="0"/>
        <v>1012.102691996509</v>
      </c>
      <c r="D46" s="536">
        <f t="shared" si="1"/>
        <v>-1847.4274733761918</v>
      </c>
      <c r="E46" s="560">
        <f t="shared" si="2"/>
        <v>345159.20978256967</v>
      </c>
    </row>
    <row r="47" spans="2:5" x14ac:dyDescent="0.2">
      <c r="B47" s="535">
        <v>32</v>
      </c>
      <c r="C47" s="560">
        <f t="shared" si="0"/>
        <v>1006.7143618658283</v>
      </c>
      <c r="D47" s="536">
        <f t="shared" si="1"/>
        <v>-1852.8158035068723</v>
      </c>
      <c r="E47" s="560">
        <f t="shared" si="2"/>
        <v>343306.39397906279</v>
      </c>
    </row>
    <row r="48" spans="2:5" x14ac:dyDescent="0.2">
      <c r="B48" s="535">
        <v>33</v>
      </c>
      <c r="C48" s="560">
        <f t="shared" si="0"/>
        <v>1001.3103157722666</v>
      </c>
      <c r="D48" s="536">
        <f t="shared" si="1"/>
        <v>-1858.2198496004339</v>
      </c>
      <c r="E48" s="560">
        <f t="shared" si="2"/>
        <v>341448.17412946234</v>
      </c>
    </row>
    <row r="49" spans="2:5" x14ac:dyDescent="0.2">
      <c r="B49" s="535">
        <v>34</v>
      </c>
      <c r="C49" s="560">
        <f t="shared" si="0"/>
        <v>995.89050787759868</v>
      </c>
      <c r="D49" s="536">
        <f t="shared" si="1"/>
        <v>-1863.6396574951018</v>
      </c>
      <c r="E49" s="560">
        <f t="shared" si="2"/>
        <v>339584.53447196726</v>
      </c>
    </row>
    <row r="50" spans="2:5" x14ac:dyDescent="0.2">
      <c r="B50" s="535">
        <v>35</v>
      </c>
      <c r="C50" s="560">
        <f t="shared" si="0"/>
        <v>990.45489220990464</v>
      </c>
      <c r="D50" s="536">
        <f t="shared" si="1"/>
        <v>-1869.0752731627958</v>
      </c>
      <c r="E50" s="560">
        <f t="shared" si="2"/>
        <v>337715.45919880446</v>
      </c>
    </row>
    <row r="51" spans="2:5" x14ac:dyDescent="0.2">
      <c r="B51" s="535">
        <v>36</v>
      </c>
      <c r="C51" s="560">
        <f t="shared" si="0"/>
        <v>985.00342266317978</v>
      </c>
      <c r="D51" s="536">
        <f t="shared" si="1"/>
        <v>-1874.5267427095209</v>
      </c>
      <c r="E51" s="560">
        <f t="shared" si="2"/>
        <v>335840.93245609495</v>
      </c>
    </row>
    <row r="52" spans="2:5" x14ac:dyDescent="0.2">
      <c r="B52" s="535">
        <v>37</v>
      </c>
      <c r="C52" s="560">
        <f t="shared" si="0"/>
        <v>979.53605299694379</v>
      </c>
      <c r="D52" s="536">
        <f t="shared" si="1"/>
        <v>-1879.9941123757567</v>
      </c>
      <c r="E52" s="560">
        <f t="shared" si="2"/>
        <v>333960.93834371917</v>
      </c>
    </row>
    <row r="53" spans="2:5" x14ac:dyDescent="0.2">
      <c r="B53" s="535">
        <v>38</v>
      </c>
      <c r="C53" s="560">
        <f t="shared" si="0"/>
        <v>974.05273683584767</v>
      </c>
      <c r="D53" s="536">
        <f t="shared" si="1"/>
        <v>-1885.477428536853</v>
      </c>
      <c r="E53" s="560">
        <f t="shared" si="2"/>
        <v>332075.46091518231</v>
      </c>
    </row>
    <row r="54" spans="2:5" x14ac:dyDescent="0.2">
      <c r="B54" s="535">
        <v>39</v>
      </c>
      <c r="C54" s="560">
        <f t="shared" si="0"/>
        <v>968.55342766928186</v>
      </c>
      <c r="D54" s="536">
        <f t="shared" si="1"/>
        <v>-1890.9767377034186</v>
      </c>
      <c r="E54" s="560">
        <f t="shared" si="2"/>
        <v>330184.48417747888</v>
      </c>
    </row>
    <row r="55" spans="2:5" x14ac:dyDescent="0.2">
      <c r="B55" s="535">
        <v>40</v>
      </c>
      <c r="C55" s="560">
        <f t="shared" si="0"/>
        <v>963.03807885098013</v>
      </c>
      <c r="D55" s="536">
        <f t="shared" si="1"/>
        <v>-1896.4920865217205</v>
      </c>
      <c r="E55" s="560">
        <f t="shared" si="2"/>
        <v>328287.99209095718</v>
      </c>
    </row>
    <row r="56" spans="2:5" x14ac:dyDescent="0.2">
      <c r="B56" s="535">
        <v>41</v>
      </c>
      <c r="C56" s="560">
        <f t="shared" si="0"/>
        <v>957.50664359862515</v>
      </c>
      <c r="D56" s="536">
        <f t="shared" si="1"/>
        <v>-1902.0235217740756</v>
      </c>
      <c r="E56" s="560">
        <f t="shared" si="2"/>
        <v>326385.96856918308</v>
      </c>
    </row>
    <row r="57" spans="2:5" x14ac:dyDescent="0.2">
      <c r="B57" s="535">
        <v>42</v>
      </c>
      <c r="C57" s="560">
        <f t="shared" si="0"/>
        <v>951.95907499345083</v>
      </c>
      <c r="D57" s="536">
        <f t="shared" si="1"/>
        <v>-1907.5710903792497</v>
      </c>
      <c r="E57" s="560">
        <f t="shared" si="2"/>
        <v>324478.39747880382</v>
      </c>
    </row>
    <row r="58" spans="2:5" x14ac:dyDescent="0.2">
      <c r="B58" s="535">
        <v>43</v>
      </c>
      <c r="C58" s="560">
        <f t="shared" si="0"/>
        <v>946.39532597984453</v>
      </c>
      <c r="D58" s="536">
        <f t="shared" si="1"/>
        <v>-1913.1348393928561</v>
      </c>
      <c r="E58" s="560">
        <f t="shared" si="2"/>
        <v>322565.26263941097</v>
      </c>
    </row>
    <row r="59" spans="2:5" x14ac:dyDescent="0.2">
      <c r="B59" s="535">
        <v>44</v>
      </c>
      <c r="C59" s="560">
        <f t="shared" si="0"/>
        <v>940.81534936494882</v>
      </c>
      <c r="D59" s="536">
        <f t="shared" si="1"/>
        <v>-1918.7148160077518</v>
      </c>
      <c r="E59" s="560">
        <f t="shared" si="2"/>
        <v>320646.54782340321</v>
      </c>
    </row>
    <row r="60" spans="2:5" x14ac:dyDescent="0.2">
      <c r="B60" s="535">
        <v>45</v>
      </c>
      <c r="C60" s="560">
        <f t="shared" si="0"/>
        <v>935.21909781825946</v>
      </c>
      <c r="D60" s="536">
        <f t="shared" si="1"/>
        <v>-1924.3110675544413</v>
      </c>
      <c r="E60" s="560">
        <f t="shared" si="2"/>
        <v>318722.23675584875</v>
      </c>
    </row>
    <row r="61" spans="2:5" x14ac:dyDescent="0.2">
      <c r="B61" s="535">
        <v>46</v>
      </c>
      <c r="C61" s="560">
        <f t="shared" si="0"/>
        <v>929.6065238712257</v>
      </c>
      <c r="D61" s="536">
        <f t="shared" si="1"/>
        <v>-1929.9236415014748</v>
      </c>
      <c r="E61" s="560">
        <f t="shared" si="2"/>
        <v>316792.31311434729</v>
      </c>
    </row>
    <row r="62" spans="2:5" x14ac:dyDescent="0.2">
      <c r="B62" s="535">
        <v>47</v>
      </c>
      <c r="C62" s="560">
        <f t="shared" si="0"/>
        <v>923.97757991684637</v>
      </c>
      <c r="D62" s="536">
        <f t="shared" si="1"/>
        <v>-1935.5525854558541</v>
      </c>
      <c r="E62" s="560">
        <f t="shared" si="2"/>
        <v>314856.76052889141</v>
      </c>
    </row>
    <row r="63" spans="2:5" x14ac:dyDescent="0.2">
      <c r="B63" s="535">
        <v>48</v>
      </c>
      <c r="C63" s="560">
        <f t="shared" si="0"/>
        <v>918.33221820926667</v>
      </c>
      <c r="D63" s="536">
        <f t="shared" si="1"/>
        <v>-1941.197947163434</v>
      </c>
      <c r="E63" s="560">
        <f t="shared" si="2"/>
        <v>312915.56258172798</v>
      </c>
    </row>
    <row r="64" spans="2:5" x14ac:dyDescent="0.2">
      <c r="B64" s="535">
        <v>49</v>
      </c>
      <c r="C64" s="560">
        <f t="shared" si="0"/>
        <v>912.67039086337343</v>
      </c>
      <c r="D64" s="536">
        <f t="shared" si="1"/>
        <v>-1946.8597745093271</v>
      </c>
      <c r="E64" s="560">
        <f t="shared" si="2"/>
        <v>310968.70280721865</v>
      </c>
    </row>
    <row r="65" spans="2:5" x14ac:dyDescent="0.2">
      <c r="B65" s="535">
        <v>50</v>
      </c>
      <c r="C65" s="560">
        <f t="shared" si="0"/>
        <v>906.9920498543878</v>
      </c>
      <c r="D65" s="536">
        <f t="shared" si="1"/>
        <v>-1952.5381155183127</v>
      </c>
      <c r="E65" s="560">
        <f t="shared" si="2"/>
        <v>309016.16469170037</v>
      </c>
    </row>
    <row r="66" spans="2:5" x14ac:dyDescent="0.2">
      <c r="B66" s="535">
        <v>51</v>
      </c>
      <c r="C66" s="560">
        <f t="shared" si="0"/>
        <v>901.29714701745945</v>
      </c>
      <c r="D66" s="536">
        <f t="shared" si="1"/>
        <v>-1958.2330183552413</v>
      </c>
      <c r="E66" s="560">
        <f t="shared" si="2"/>
        <v>307057.9316733451</v>
      </c>
    </row>
    <row r="67" spans="2:5" x14ac:dyDescent="0.2">
      <c r="B67" s="535">
        <v>52</v>
      </c>
      <c r="C67" s="560">
        <f t="shared" si="0"/>
        <v>895.58563404725658</v>
      </c>
      <c r="D67" s="536">
        <f t="shared" si="1"/>
        <v>-1963.9445313254441</v>
      </c>
      <c r="E67" s="560">
        <f t="shared" si="2"/>
        <v>305093.98714201967</v>
      </c>
    </row>
    <row r="68" spans="2:5" x14ac:dyDescent="0.2">
      <c r="B68" s="535">
        <v>53</v>
      </c>
      <c r="C68" s="560">
        <f t="shared" si="0"/>
        <v>889.85746249755755</v>
      </c>
      <c r="D68" s="536">
        <f t="shared" si="1"/>
        <v>-1969.6727028751429</v>
      </c>
      <c r="E68" s="560">
        <f t="shared" si="2"/>
        <v>303124.31443914451</v>
      </c>
    </row>
    <row r="69" spans="2:5" x14ac:dyDescent="0.2">
      <c r="B69" s="535">
        <v>54</v>
      </c>
      <c r="C69" s="560">
        <f t="shared" si="0"/>
        <v>884.11258378083824</v>
      </c>
      <c r="D69" s="536">
        <f t="shared" si="1"/>
        <v>-1975.4175815918625</v>
      </c>
      <c r="E69" s="560">
        <f t="shared" si="2"/>
        <v>301148.89685755264</v>
      </c>
    </row>
    <row r="70" spans="2:5" x14ac:dyDescent="0.2">
      <c r="B70" s="535">
        <v>55</v>
      </c>
      <c r="C70" s="560">
        <f t="shared" si="0"/>
        <v>878.35094916786193</v>
      </c>
      <c r="D70" s="536">
        <f t="shared" si="1"/>
        <v>-1981.1792162048387</v>
      </c>
      <c r="E70" s="560">
        <f t="shared" si="2"/>
        <v>299167.71764134779</v>
      </c>
    </row>
    <row r="71" spans="2:5" x14ac:dyDescent="0.2">
      <c r="B71" s="535">
        <v>56</v>
      </c>
      <c r="C71" s="560">
        <f t="shared" si="0"/>
        <v>872.57250978726449</v>
      </c>
      <c r="D71" s="536">
        <f t="shared" si="1"/>
        <v>-1986.957655585436</v>
      </c>
      <c r="E71" s="560">
        <f t="shared" si="2"/>
        <v>297180.75998576236</v>
      </c>
    </row>
    <row r="72" spans="2:5" x14ac:dyDescent="0.2">
      <c r="B72" s="535">
        <v>57</v>
      </c>
      <c r="C72" s="560">
        <f t="shared" si="0"/>
        <v>866.77721662514023</v>
      </c>
      <c r="D72" s="536">
        <f t="shared" si="1"/>
        <v>-1992.7529487475604</v>
      </c>
      <c r="E72" s="560">
        <f t="shared" si="2"/>
        <v>295188.00703701482</v>
      </c>
    </row>
    <row r="73" spans="2:5" x14ac:dyDescent="0.2">
      <c r="B73" s="535">
        <v>58</v>
      </c>
      <c r="C73" s="560">
        <f t="shared" si="0"/>
        <v>860.96502052462665</v>
      </c>
      <c r="D73" s="536">
        <f t="shared" si="1"/>
        <v>-1998.5651448480739</v>
      </c>
      <c r="E73" s="560">
        <f t="shared" si="2"/>
        <v>293189.44189216674</v>
      </c>
    </row>
    <row r="74" spans="2:5" x14ac:dyDescent="0.2">
      <c r="B74" s="535">
        <v>59</v>
      </c>
      <c r="C74" s="560">
        <f t="shared" si="0"/>
        <v>855.13587218548639</v>
      </c>
      <c r="D74" s="536">
        <f t="shared" si="1"/>
        <v>-2004.3942931872143</v>
      </c>
      <c r="E74" s="560">
        <f t="shared" si="2"/>
        <v>291185.04759897955</v>
      </c>
    </row>
    <row r="75" spans="2:5" x14ac:dyDescent="0.2">
      <c r="B75" s="535">
        <v>60</v>
      </c>
      <c r="C75" s="560">
        <f t="shared" si="0"/>
        <v>849.28972216369039</v>
      </c>
      <c r="D75" s="536">
        <f t="shared" si="1"/>
        <v>-2010.2404432090102</v>
      </c>
      <c r="E75" s="560">
        <f t="shared" si="2"/>
        <v>289174.80715577054</v>
      </c>
    </row>
    <row r="76" spans="2:5" x14ac:dyDescent="0.2">
      <c r="B76" s="535">
        <v>61</v>
      </c>
      <c r="C76" s="560">
        <f t="shared" si="0"/>
        <v>843.42652087099748</v>
      </c>
      <c r="D76" s="536">
        <f t="shared" si="1"/>
        <v>-2016.103644501703</v>
      </c>
      <c r="E76" s="560">
        <f t="shared" si="2"/>
        <v>287158.70351126883</v>
      </c>
    </row>
    <row r="77" spans="2:5" x14ac:dyDescent="0.2">
      <c r="B77" s="535">
        <v>62</v>
      </c>
      <c r="C77" s="560">
        <f t="shared" si="0"/>
        <v>837.54621857453412</v>
      </c>
      <c r="D77" s="536">
        <f t="shared" si="1"/>
        <v>-2021.9839467981665</v>
      </c>
      <c r="E77" s="560">
        <f t="shared" si="2"/>
        <v>285136.71956447064</v>
      </c>
    </row>
    <row r="78" spans="2:5" x14ac:dyDescent="0.2">
      <c r="B78" s="535">
        <v>63</v>
      </c>
      <c r="C78" s="560">
        <f t="shared" si="0"/>
        <v>831.64876539637271</v>
      </c>
      <c r="D78" s="536">
        <f t="shared" si="1"/>
        <v>-2027.8813999763279</v>
      </c>
      <c r="E78" s="560">
        <f t="shared" si="2"/>
        <v>283108.83816449431</v>
      </c>
    </row>
    <row r="79" spans="2:5" x14ac:dyDescent="0.2">
      <c r="B79" s="535">
        <v>64</v>
      </c>
      <c r="C79" s="560">
        <f t="shared" si="0"/>
        <v>825.73411131310843</v>
      </c>
      <c r="D79" s="536">
        <f t="shared" si="1"/>
        <v>-2033.7960540595923</v>
      </c>
      <c r="E79" s="560">
        <f t="shared" si="2"/>
        <v>281075.04211043473</v>
      </c>
    </row>
    <row r="80" spans="2:5" x14ac:dyDescent="0.2">
      <c r="B80" s="535">
        <v>65</v>
      </c>
      <c r="C80" s="560">
        <f t="shared" si="0"/>
        <v>819.80220615543476</v>
      </c>
      <c r="D80" s="536">
        <f t="shared" si="1"/>
        <v>-2039.7279592172658</v>
      </c>
      <c r="E80" s="560">
        <f t="shared" si="2"/>
        <v>279035.31415121746</v>
      </c>
    </row>
    <row r="81" spans="2:5" x14ac:dyDescent="0.2">
      <c r="B81" s="535">
        <v>66</v>
      </c>
      <c r="C81" s="560">
        <f t="shared" si="0"/>
        <v>813.85299960771772</v>
      </c>
      <c r="D81" s="536">
        <f t="shared" si="1"/>
        <v>-2045.6771657649829</v>
      </c>
      <c r="E81" s="560">
        <f t="shared" si="2"/>
        <v>276989.6369854525</v>
      </c>
    </row>
    <row r="82" spans="2:5" x14ac:dyDescent="0.2">
      <c r="B82" s="535">
        <v>67</v>
      </c>
      <c r="C82" s="560">
        <f t="shared" ref="C82:C145" si="3">IF(B82&gt;$C$9,,E81*$C$8/12)</f>
        <v>807.88644120756987</v>
      </c>
      <c r="D82" s="536">
        <f t="shared" ref="D82:D145" si="4">IF(B82&gt;$C$9,,$C$10+C82)</f>
        <v>-2051.6437241651306</v>
      </c>
      <c r="E82" s="560">
        <f t="shared" ref="E82:E145" si="5">E81+D82</f>
        <v>274937.99326128734</v>
      </c>
    </row>
    <row r="83" spans="2:5" x14ac:dyDescent="0.2">
      <c r="B83" s="535">
        <v>68</v>
      </c>
      <c r="C83" s="560">
        <f t="shared" si="3"/>
        <v>801.9024803454214</v>
      </c>
      <c r="D83" s="536">
        <f t="shared" si="4"/>
        <v>-2057.6276850272793</v>
      </c>
      <c r="E83" s="560">
        <f t="shared" si="5"/>
        <v>272880.36557626008</v>
      </c>
    </row>
    <row r="84" spans="2:5" x14ac:dyDescent="0.2">
      <c r="B84" s="535">
        <v>69</v>
      </c>
      <c r="C84" s="560">
        <f t="shared" si="3"/>
        <v>795.90106626409204</v>
      </c>
      <c r="D84" s="536">
        <f t="shared" si="4"/>
        <v>-2063.6290991086084</v>
      </c>
      <c r="E84" s="560">
        <f t="shared" si="5"/>
        <v>270816.73647715145</v>
      </c>
    </row>
    <row r="85" spans="2:5" x14ac:dyDescent="0.2">
      <c r="B85" s="535">
        <v>70</v>
      </c>
      <c r="C85" s="560">
        <f t="shared" si="3"/>
        <v>789.88214805835844</v>
      </c>
      <c r="D85" s="536">
        <f t="shared" si="4"/>
        <v>-2069.6480173143423</v>
      </c>
      <c r="E85" s="560">
        <f t="shared" si="5"/>
        <v>268747.08845983713</v>
      </c>
    </row>
    <row r="86" spans="2:5" x14ac:dyDescent="0.2">
      <c r="B86" s="535">
        <v>71</v>
      </c>
      <c r="C86" s="560">
        <f t="shared" si="3"/>
        <v>783.84567467452507</v>
      </c>
      <c r="D86" s="536">
        <f t="shared" si="4"/>
        <v>-2075.6844906981755</v>
      </c>
      <c r="E86" s="560">
        <f t="shared" si="5"/>
        <v>266671.40396913898</v>
      </c>
    </row>
    <row r="87" spans="2:5" x14ac:dyDescent="0.2">
      <c r="B87" s="535">
        <v>72</v>
      </c>
      <c r="C87" s="560">
        <f t="shared" si="3"/>
        <v>777.79159490998882</v>
      </c>
      <c r="D87" s="536">
        <f t="shared" si="4"/>
        <v>-2081.7385704627118</v>
      </c>
      <c r="E87" s="560">
        <f t="shared" si="5"/>
        <v>264589.66539867624</v>
      </c>
    </row>
    <row r="88" spans="2:5" x14ac:dyDescent="0.2">
      <c r="B88" s="535">
        <v>73</v>
      </c>
      <c r="C88" s="560">
        <f t="shared" si="3"/>
        <v>771.71985741280571</v>
      </c>
      <c r="D88" s="536">
        <f t="shared" si="4"/>
        <v>-2087.810307959895</v>
      </c>
      <c r="E88" s="560">
        <f t="shared" si="5"/>
        <v>262501.85509071633</v>
      </c>
    </row>
    <row r="89" spans="2:5" x14ac:dyDescent="0.2">
      <c r="B89" s="535">
        <v>74</v>
      </c>
      <c r="C89" s="560">
        <f t="shared" si="3"/>
        <v>765.63041068125597</v>
      </c>
      <c r="D89" s="536">
        <f t="shared" si="4"/>
        <v>-2093.8997546914447</v>
      </c>
      <c r="E89" s="560">
        <f t="shared" si="5"/>
        <v>260407.9553360249</v>
      </c>
    </row>
    <row r="90" spans="2:5" x14ac:dyDescent="0.2">
      <c r="B90" s="535">
        <v>75</v>
      </c>
      <c r="C90" s="560">
        <f t="shared" si="3"/>
        <v>759.52320306340607</v>
      </c>
      <c r="D90" s="536">
        <f t="shared" si="4"/>
        <v>-2100.0069623092945</v>
      </c>
      <c r="E90" s="560">
        <f t="shared" si="5"/>
        <v>258307.9483737156</v>
      </c>
    </row>
    <row r="91" spans="2:5" x14ac:dyDescent="0.2">
      <c r="B91" s="535">
        <v>76</v>
      </c>
      <c r="C91" s="560">
        <f t="shared" si="3"/>
        <v>753.39818275667051</v>
      </c>
      <c r="D91" s="536">
        <f t="shared" si="4"/>
        <v>-2106.1319826160302</v>
      </c>
      <c r="E91" s="560">
        <f t="shared" si="5"/>
        <v>256201.81639109956</v>
      </c>
    </row>
    <row r="92" spans="2:5" x14ac:dyDescent="0.2">
      <c r="B92" s="535">
        <v>77</v>
      </c>
      <c r="C92" s="560">
        <f t="shared" si="3"/>
        <v>747.25529780737372</v>
      </c>
      <c r="D92" s="536">
        <f t="shared" si="4"/>
        <v>-2112.274867565327</v>
      </c>
      <c r="E92" s="560">
        <f t="shared" si="5"/>
        <v>254089.54152353425</v>
      </c>
    </row>
    <row r="93" spans="2:5" x14ac:dyDescent="0.2">
      <c r="B93" s="535">
        <v>78</v>
      </c>
      <c r="C93" s="560">
        <f t="shared" si="3"/>
        <v>741.09449611030834</v>
      </c>
      <c r="D93" s="536">
        <f t="shared" si="4"/>
        <v>-2118.4356692623924</v>
      </c>
      <c r="E93" s="560">
        <f t="shared" si="5"/>
        <v>251971.10585427185</v>
      </c>
    </row>
    <row r="94" spans="2:5" x14ac:dyDescent="0.2">
      <c r="B94" s="535">
        <v>79</v>
      </c>
      <c r="C94" s="560">
        <f t="shared" si="3"/>
        <v>734.91572540829293</v>
      </c>
      <c r="D94" s="536">
        <f t="shared" si="4"/>
        <v>-2124.6144399644077</v>
      </c>
      <c r="E94" s="560">
        <f t="shared" si="5"/>
        <v>249846.49141430744</v>
      </c>
    </row>
    <row r="95" spans="2:5" x14ac:dyDescent="0.2">
      <c r="B95" s="535">
        <v>80</v>
      </c>
      <c r="C95" s="560">
        <f t="shared" si="3"/>
        <v>728.71893329173008</v>
      </c>
      <c r="D95" s="536">
        <f t="shared" si="4"/>
        <v>-2130.8112320809705</v>
      </c>
      <c r="E95" s="560">
        <f t="shared" si="5"/>
        <v>247715.68018222647</v>
      </c>
    </row>
    <row r="96" spans="2:5" x14ac:dyDescent="0.2">
      <c r="B96" s="535">
        <v>81</v>
      </c>
      <c r="C96" s="560">
        <f t="shared" si="3"/>
        <v>722.50406719816056</v>
      </c>
      <c r="D96" s="536">
        <f t="shared" si="4"/>
        <v>-2137.02609817454</v>
      </c>
      <c r="E96" s="560">
        <f t="shared" si="5"/>
        <v>245578.65408405193</v>
      </c>
    </row>
    <row r="97" spans="2:5" x14ac:dyDescent="0.2">
      <c r="B97" s="535">
        <v>82</v>
      </c>
      <c r="C97" s="560">
        <f t="shared" si="3"/>
        <v>716.27107441181818</v>
      </c>
      <c r="D97" s="536">
        <f t="shared" si="4"/>
        <v>-2143.2590909608825</v>
      </c>
      <c r="E97" s="560">
        <f t="shared" si="5"/>
        <v>243435.39499309106</v>
      </c>
    </row>
    <row r="98" spans="2:5" x14ac:dyDescent="0.2">
      <c r="B98" s="535">
        <v>83</v>
      </c>
      <c r="C98" s="560">
        <f t="shared" si="3"/>
        <v>710.01990206318226</v>
      </c>
      <c r="D98" s="536">
        <f t="shared" si="4"/>
        <v>-2149.5102633095185</v>
      </c>
      <c r="E98" s="560">
        <f t="shared" si="5"/>
        <v>241285.88472978154</v>
      </c>
    </row>
    <row r="99" spans="2:5" x14ac:dyDescent="0.2">
      <c r="B99" s="535">
        <v>84</v>
      </c>
      <c r="C99" s="560">
        <f t="shared" si="3"/>
        <v>703.75049712852945</v>
      </c>
      <c r="D99" s="536">
        <f t="shared" si="4"/>
        <v>-2155.7796682441713</v>
      </c>
      <c r="E99" s="560">
        <f t="shared" si="5"/>
        <v>239130.10506153735</v>
      </c>
    </row>
    <row r="100" spans="2:5" x14ac:dyDescent="0.2">
      <c r="B100" s="535">
        <v>85</v>
      </c>
      <c r="C100" s="560">
        <f t="shared" si="3"/>
        <v>697.46280642948398</v>
      </c>
      <c r="D100" s="536">
        <f t="shared" si="4"/>
        <v>-2162.0673589432167</v>
      </c>
      <c r="E100" s="560">
        <f t="shared" si="5"/>
        <v>236968.03770259413</v>
      </c>
    </row>
    <row r="101" spans="2:5" x14ac:dyDescent="0.2">
      <c r="B101" s="535">
        <v>86</v>
      </c>
      <c r="C101" s="560">
        <f t="shared" si="3"/>
        <v>691.15677663256622</v>
      </c>
      <c r="D101" s="536">
        <f t="shared" si="4"/>
        <v>-2168.3733887401345</v>
      </c>
      <c r="E101" s="560">
        <f t="shared" si="5"/>
        <v>234799.66431385398</v>
      </c>
    </row>
    <row r="102" spans="2:5" x14ac:dyDescent="0.2">
      <c r="B102" s="535">
        <v>87</v>
      </c>
      <c r="C102" s="560">
        <f t="shared" si="3"/>
        <v>684.8323542487409</v>
      </c>
      <c r="D102" s="536">
        <f t="shared" si="4"/>
        <v>-2174.6978111239596</v>
      </c>
      <c r="E102" s="560">
        <f t="shared" si="5"/>
        <v>232624.96650273001</v>
      </c>
    </row>
    <row r="103" spans="2:5" x14ac:dyDescent="0.2">
      <c r="B103" s="535">
        <v>88</v>
      </c>
      <c r="C103" s="560">
        <f t="shared" si="3"/>
        <v>678.48948563296256</v>
      </c>
      <c r="D103" s="536">
        <f t="shared" si="4"/>
        <v>-2181.0406797397382</v>
      </c>
      <c r="E103" s="560">
        <f t="shared" si="5"/>
        <v>230443.92582299028</v>
      </c>
    </row>
    <row r="104" spans="2:5" x14ac:dyDescent="0.2">
      <c r="B104" s="535">
        <v>89</v>
      </c>
      <c r="C104" s="560">
        <f t="shared" si="3"/>
        <v>672.12811698372172</v>
      </c>
      <c r="D104" s="536">
        <f t="shared" si="4"/>
        <v>-2187.402048388979</v>
      </c>
      <c r="E104" s="560">
        <f t="shared" si="5"/>
        <v>228256.52377460129</v>
      </c>
    </row>
    <row r="105" spans="2:5" x14ac:dyDescent="0.2">
      <c r="B105" s="535">
        <v>90</v>
      </c>
      <c r="C105" s="560">
        <f t="shared" si="3"/>
        <v>665.74819434258711</v>
      </c>
      <c r="D105" s="536">
        <f t="shared" si="4"/>
        <v>-2193.7819710301137</v>
      </c>
      <c r="E105" s="560">
        <f t="shared" si="5"/>
        <v>226062.74180357117</v>
      </c>
    </row>
    <row r="106" spans="2:5" x14ac:dyDescent="0.2">
      <c r="B106" s="535">
        <v>91</v>
      </c>
      <c r="C106" s="560">
        <f t="shared" si="3"/>
        <v>659.34966359374937</v>
      </c>
      <c r="D106" s="536">
        <f t="shared" si="4"/>
        <v>-2200.1805017789511</v>
      </c>
      <c r="E106" s="560">
        <f t="shared" si="5"/>
        <v>223862.56130179222</v>
      </c>
    </row>
    <row r="107" spans="2:5" x14ac:dyDescent="0.2">
      <c r="B107" s="535">
        <v>92</v>
      </c>
      <c r="C107" s="560">
        <f t="shared" si="3"/>
        <v>652.93247046356066</v>
      </c>
      <c r="D107" s="536">
        <f t="shared" si="4"/>
        <v>-2206.59769490914</v>
      </c>
      <c r="E107" s="560">
        <f t="shared" si="5"/>
        <v>221655.96360688307</v>
      </c>
    </row>
    <row r="108" spans="2:5" x14ac:dyDescent="0.2">
      <c r="B108" s="535">
        <v>93</v>
      </c>
      <c r="C108" s="560">
        <f t="shared" si="3"/>
        <v>646.49656052007572</v>
      </c>
      <c r="D108" s="536">
        <f t="shared" si="4"/>
        <v>-2213.0336048526251</v>
      </c>
      <c r="E108" s="560">
        <f t="shared" si="5"/>
        <v>219442.93000203045</v>
      </c>
    </row>
    <row r="109" spans="2:5" x14ac:dyDescent="0.2">
      <c r="B109" s="535">
        <v>94</v>
      </c>
      <c r="C109" s="560">
        <f t="shared" si="3"/>
        <v>640.04187917258889</v>
      </c>
      <c r="D109" s="536">
        <f t="shared" si="4"/>
        <v>-2219.4882862001118</v>
      </c>
      <c r="E109" s="560">
        <f t="shared" si="5"/>
        <v>217223.44171583033</v>
      </c>
    </row>
    <row r="110" spans="2:5" x14ac:dyDescent="0.2">
      <c r="B110" s="535">
        <v>95</v>
      </c>
      <c r="C110" s="560">
        <f t="shared" si="3"/>
        <v>633.5683716711718</v>
      </c>
      <c r="D110" s="536">
        <f t="shared" si="4"/>
        <v>-2225.9617937015287</v>
      </c>
      <c r="E110" s="560">
        <f t="shared" si="5"/>
        <v>214997.47992212878</v>
      </c>
    </row>
    <row r="111" spans="2:5" x14ac:dyDescent="0.2">
      <c r="B111" s="535">
        <v>96</v>
      </c>
      <c r="C111" s="560">
        <f t="shared" si="3"/>
        <v>627.07598310620904</v>
      </c>
      <c r="D111" s="536">
        <f t="shared" si="4"/>
        <v>-2232.4541822664914</v>
      </c>
      <c r="E111" s="560">
        <f t="shared" si="5"/>
        <v>212765.02573986229</v>
      </c>
    </row>
    <row r="112" spans="2:5" x14ac:dyDescent="0.2">
      <c r="B112" s="535">
        <v>97</v>
      </c>
      <c r="C112" s="560">
        <f t="shared" si="3"/>
        <v>620.56465840793169</v>
      </c>
      <c r="D112" s="536">
        <f t="shared" si="4"/>
        <v>-2238.9655069647688</v>
      </c>
      <c r="E112" s="560">
        <f t="shared" si="5"/>
        <v>210526.06023289752</v>
      </c>
    </row>
    <row r="113" spans="2:5" x14ac:dyDescent="0.2">
      <c r="B113" s="535">
        <v>98</v>
      </c>
      <c r="C113" s="560">
        <f t="shared" si="3"/>
        <v>614.03434234595113</v>
      </c>
      <c r="D113" s="536">
        <f t="shared" si="4"/>
        <v>-2245.4958230267493</v>
      </c>
      <c r="E113" s="560">
        <f t="shared" si="5"/>
        <v>208280.56440987077</v>
      </c>
    </row>
    <row r="114" spans="2:5" x14ac:dyDescent="0.2">
      <c r="B114" s="535">
        <v>99</v>
      </c>
      <c r="C114" s="560">
        <f t="shared" si="3"/>
        <v>607.48497952878984</v>
      </c>
      <c r="D114" s="536">
        <f t="shared" si="4"/>
        <v>-2252.045185843911</v>
      </c>
      <c r="E114" s="560">
        <f t="shared" si="5"/>
        <v>206028.51922402685</v>
      </c>
    </row>
    <row r="115" spans="2:5" x14ac:dyDescent="0.2">
      <c r="B115" s="535">
        <v>100</v>
      </c>
      <c r="C115" s="560">
        <f t="shared" si="3"/>
        <v>600.91651440341172</v>
      </c>
      <c r="D115" s="536">
        <f t="shared" si="4"/>
        <v>-2258.6136509692888</v>
      </c>
      <c r="E115" s="560">
        <f t="shared" si="5"/>
        <v>203769.90557305756</v>
      </c>
    </row>
    <row r="116" spans="2:5" x14ac:dyDescent="0.2">
      <c r="B116" s="535">
        <v>101</v>
      </c>
      <c r="C116" s="560">
        <f t="shared" si="3"/>
        <v>594.32889125475128</v>
      </c>
      <c r="D116" s="536">
        <f t="shared" si="4"/>
        <v>-2265.2012741179492</v>
      </c>
      <c r="E116" s="560">
        <f t="shared" si="5"/>
        <v>201504.70429893961</v>
      </c>
    </row>
    <row r="117" spans="2:5" x14ac:dyDescent="0.2">
      <c r="B117" s="535">
        <v>102</v>
      </c>
      <c r="C117" s="560">
        <f t="shared" si="3"/>
        <v>587.72205420524062</v>
      </c>
      <c r="D117" s="536">
        <f t="shared" si="4"/>
        <v>-2271.8081111674601</v>
      </c>
      <c r="E117" s="560">
        <f t="shared" si="5"/>
        <v>199232.89618777216</v>
      </c>
    </row>
    <row r="118" spans="2:5" x14ac:dyDescent="0.2">
      <c r="B118" s="535">
        <v>103</v>
      </c>
      <c r="C118" s="560">
        <f t="shared" si="3"/>
        <v>581.09594721433552</v>
      </c>
      <c r="D118" s="536">
        <f t="shared" si="4"/>
        <v>-2278.4342181583652</v>
      </c>
      <c r="E118" s="560">
        <f t="shared" si="5"/>
        <v>196954.4619696138</v>
      </c>
    </row>
    <row r="119" spans="2:5" x14ac:dyDescent="0.2">
      <c r="B119" s="535">
        <v>104</v>
      </c>
      <c r="C119" s="560">
        <f t="shared" si="3"/>
        <v>574.45051407804033</v>
      </c>
      <c r="D119" s="536">
        <f t="shared" si="4"/>
        <v>-2285.0796512946604</v>
      </c>
      <c r="E119" s="560">
        <f t="shared" si="5"/>
        <v>194669.38231831914</v>
      </c>
    </row>
    <row r="120" spans="2:5" x14ac:dyDescent="0.2">
      <c r="B120" s="535">
        <v>105</v>
      </c>
      <c r="C120" s="560">
        <f t="shared" si="3"/>
        <v>567.78569842843092</v>
      </c>
      <c r="D120" s="536">
        <f t="shared" si="4"/>
        <v>-2291.7444669442698</v>
      </c>
      <c r="E120" s="560">
        <f t="shared" si="5"/>
        <v>192377.63785137486</v>
      </c>
    </row>
    <row r="121" spans="2:5" x14ac:dyDescent="0.2">
      <c r="B121" s="535">
        <v>106</v>
      </c>
      <c r="C121" s="560">
        <f t="shared" si="3"/>
        <v>561.10144373317678</v>
      </c>
      <c r="D121" s="536">
        <f t="shared" si="4"/>
        <v>-2298.4287216395237</v>
      </c>
      <c r="E121" s="560">
        <f t="shared" si="5"/>
        <v>190079.20912973533</v>
      </c>
    </row>
    <row r="122" spans="2:5" x14ac:dyDescent="0.2">
      <c r="B122" s="535">
        <v>107</v>
      </c>
      <c r="C122" s="560">
        <f t="shared" si="3"/>
        <v>554.39769329506146</v>
      </c>
      <c r="D122" s="536">
        <f t="shared" si="4"/>
        <v>-2305.1324720776392</v>
      </c>
      <c r="E122" s="560">
        <f t="shared" si="5"/>
        <v>187774.07665765769</v>
      </c>
    </row>
    <row r="123" spans="2:5" x14ac:dyDescent="0.2">
      <c r="B123" s="535">
        <v>108</v>
      </c>
      <c r="C123" s="560">
        <f t="shared" si="3"/>
        <v>547.67439025150168</v>
      </c>
      <c r="D123" s="536">
        <f t="shared" si="4"/>
        <v>-2311.8557751211988</v>
      </c>
      <c r="E123" s="560">
        <f t="shared" si="5"/>
        <v>185462.22088253649</v>
      </c>
    </row>
    <row r="124" spans="2:5" x14ac:dyDescent="0.2">
      <c r="B124" s="535">
        <v>109</v>
      </c>
      <c r="C124" s="560">
        <f t="shared" si="3"/>
        <v>540.93147757406484</v>
      </c>
      <c r="D124" s="536">
        <f t="shared" si="4"/>
        <v>-2318.5986877986356</v>
      </c>
      <c r="E124" s="560">
        <f t="shared" si="5"/>
        <v>183143.62219473787</v>
      </c>
    </row>
    <row r="125" spans="2:5" x14ac:dyDescent="0.2">
      <c r="B125" s="535">
        <v>110</v>
      </c>
      <c r="C125" s="560">
        <f t="shared" si="3"/>
        <v>534.16889806798542</v>
      </c>
      <c r="D125" s="536">
        <f t="shared" si="4"/>
        <v>-2325.3612673047151</v>
      </c>
      <c r="E125" s="560">
        <f t="shared" si="5"/>
        <v>180818.26092743315</v>
      </c>
    </row>
    <row r="126" spans="2:5" x14ac:dyDescent="0.2">
      <c r="B126" s="535">
        <v>111</v>
      </c>
      <c r="C126" s="560">
        <f t="shared" si="3"/>
        <v>527.38659437168008</v>
      </c>
      <c r="D126" s="536">
        <f t="shared" si="4"/>
        <v>-2332.1435710010205</v>
      </c>
      <c r="E126" s="560">
        <f t="shared" si="5"/>
        <v>178486.11735643214</v>
      </c>
    </row>
    <row r="127" spans="2:5" x14ac:dyDescent="0.2">
      <c r="B127" s="535">
        <v>112</v>
      </c>
      <c r="C127" s="560">
        <f t="shared" si="3"/>
        <v>520.58450895626049</v>
      </c>
      <c r="D127" s="536">
        <f t="shared" si="4"/>
        <v>-2338.9456564164402</v>
      </c>
      <c r="E127" s="560">
        <f t="shared" si="5"/>
        <v>176147.17170001569</v>
      </c>
    </row>
    <row r="128" spans="2:5" x14ac:dyDescent="0.2">
      <c r="B128" s="535">
        <v>113</v>
      </c>
      <c r="C128" s="560">
        <f t="shared" si="3"/>
        <v>513.76258412504581</v>
      </c>
      <c r="D128" s="536">
        <f t="shared" si="4"/>
        <v>-2345.7675812476546</v>
      </c>
      <c r="E128" s="560">
        <f t="shared" si="5"/>
        <v>173801.40411876803</v>
      </c>
    </row>
    <row r="129" spans="2:5" x14ac:dyDescent="0.2">
      <c r="B129" s="535">
        <v>114</v>
      </c>
      <c r="C129" s="560">
        <f t="shared" si="3"/>
        <v>506.92076201307344</v>
      </c>
      <c r="D129" s="536">
        <f t="shared" si="4"/>
        <v>-2352.6094033596273</v>
      </c>
      <c r="E129" s="560">
        <f t="shared" si="5"/>
        <v>171448.79471540841</v>
      </c>
    </row>
    <row r="130" spans="2:5" x14ac:dyDescent="0.2">
      <c r="B130" s="535">
        <v>115</v>
      </c>
      <c r="C130" s="560">
        <f t="shared" si="3"/>
        <v>500.05898458660795</v>
      </c>
      <c r="D130" s="536">
        <f t="shared" si="4"/>
        <v>-2359.4711807860926</v>
      </c>
      <c r="E130" s="560">
        <f t="shared" si="5"/>
        <v>169089.32353462232</v>
      </c>
    </row>
    <row r="131" spans="2:5" x14ac:dyDescent="0.2">
      <c r="B131" s="535">
        <v>116</v>
      </c>
      <c r="C131" s="560">
        <f t="shared" si="3"/>
        <v>493.17719364264849</v>
      </c>
      <c r="D131" s="536">
        <f t="shared" si="4"/>
        <v>-2366.3529717300521</v>
      </c>
      <c r="E131" s="560">
        <f t="shared" si="5"/>
        <v>166722.97056289227</v>
      </c>
    </row>
    <row r="132" spans="2:5" x14ac:dyDescent="0.2">
      <c r="B132" s="535">
        <v>117</v>
      </c>
      <c r="C132" s="560">
        <f t="shared" si="3"/>
        <v>486.27533080843585</v>
      </c>
      <c r="D132" s="536">
        <f t="shared" si="4"/>
        <v>-2373.2548345642649</v>
      </c>
      <c r="E132" s="560">
        <f t="shared" si="5"/>
        <v>164349.71572832801</v>
      </c>
    </row>
    <row r="133" spans="2:5" x14ac:dyDescent="0.2">
      <c r="B133" s="535">
        <v>118</v>
      </c>
      <c r="C133" s="560">
        <f t="shared" si="3"/>
        <v>479.35333754095677</v>
      </c>
      <c r="D133" s="536">
        <f t="shared" si="4"/>
        <v>-2380.176827831744</v>
      </c>
      <c r="E133" s="560">
        <f t="shared" si="5"/>
        <v>161969.53890049626</v>
      </c>
    </row>
    <row r="134" spans="2:5" x14ac:dyDescent="0.2">
      <c r="B134" s="535">
        <v>119</v>
      </c>
      <c r="C134" s="560">
        <f t="shared" si="3"/>
        <v>472.41115512644751</v>
      </c>
      <c r="D134" s="536">
        <f t="shared" si="4"/>
        <v>-2387.1190102462533</v>
      </c>
      <c r="E134" s="560">
        <f t="shared" si="5"/>
        <v>159582.41989025002</v>
      </c>
    </row>
    <row r="135" spans="2:5" x14ac:dyDescent="0.2">
      <c r="B135" s="535">
        <v>120</v>
      </c>
      <c r="C135" s="560">
        <f t="shared" si="3"/>
        <v>465.44872467989597</v>
      </c>
      <c r="D135" s="536">
        <f t="shared" si="4"/>
        <v>-2394.0814406928048</v>
      </c>
      <c r="E135" s="560">
        <f t="shared" si="5"/>
        <v>157188.33844955722</v>
      </c>
    </row>
    <row r="136" spans="2:5" x14ac:dyDescent="0.2">
      <c r="B136" s="535">
        <v>121</v>
      </c>
      <c r="C136" s="560">
        <f t="shared" si="3"/>
        <v>458.46598714454194</v>
      </c>
      <c r="D136" s="536">
        <f t="shared" si="4"/>
        <v>-2401.0641782281587</v>
      </c>
      <c r="E136" s="560">
        <f t="shared" si="5"/>
        <v>154787.27427132908</v>
      </c>
    </row>
    <row r="137" spans="2:5" x14ac:dyDescent="0.2">
      <c r="B137" s="535">
        <v>122</v>
      </c>
      <c r="C137" s="560">
        <f t="shared" si="3"/>
        <v>451.46288329137656</v>
      </c>
      <c r="D137" s="536">
        <f t="shared" si="4"/>
        <v>-2408.0672820813243</v>
      </c>
      <c r="E137" s="560">
        <f t="shared" si="5"/>
        <v>152379.20698924776</v>
      </c>
    </row>
    <row r="138" spans="2:5" x14ac:dyDescent="0.2">
      <c r="B138" s="535">
        <v>123</v>
      </c>
      <c r="C138" s="560">
        <f t="shared" si="3"/>
        <v>444.43935371863932</v>
      </c>
      <c r="D138" s="536">
        <f t="shared" si="4"/>
        <v>-2415.0908116540613</v>
      </c>
      <c r="E138" s="560">
        <f t="shared" si="5"/>
        <v>149964.11617759371</v>
      </c>
    </row>
    <row r="139" spans="2:5" x14ac:dyDescent="0.2">
      <c r="B139" s="535">
        <v>124</v>
      </c>
      <c r="C139" s="560">
        <f t="shared" si="3"/>
        <v>437.39533885131505</v>
      </c>
      <c r="D139" s="536">
        <f t="shared" si="4"/>
        <v>-2422.1348265213855</v>
      </c>
      <c r="E139" s="560">
        <f t="shared" si="5"/>
        <v>147541.98135107232</v>
      </c>
    </row>
    <row r="140" spans="2:5" x14ac:dyDescent="0.2">
      <c r="B140" s="535">
        <v>125</v>
      </c>
      <c r="C140" s="560">
        <f t="shared" si="3"/>
        <v>430.33077894062762</v>
      </c>
      <c r="D140" s="536">
        <f t="shared" si="4"/>
        <v>-2429.199386432073</v>
      </c>
      <c r="E140" s="560">
        <f t="shared" si="5"/>
        <v>145112.78196464025</v>
      </c>
    </row>
    <row r="141" spans="2:5" x14ac:dyDescent="0.2">
      <c r="B141" s="535">
        <v>126</v>
      </c>
      <c r="C141" s="560">
        <f t="shared" si="3"/>
        <v>423.24561406353411</v>
      </c>
      <c r="D141" s="536">
        <f t="shared" si="4"/>
        <v>-2436.2845513091665</v>
      </c>
      <c r="E141" s="560">
        <f t="shared" si="5"/>
        <v>142676.49741333109</v>
      </c>
    </row>
    <row r="142" spans="2:5" x14ac:dyDescent="0.2">
      <c r="B142" s="535">
        <v>127</v>
      </c>
      <c r="C142" s="560">
        <f t="shared" si="3"/>
        <v>416.13978412221576</v>
      </c>
      <c r="D142" s="536">
        <f t="shared" si="4"/>
        <v>-2443.390381250485</v>
      </c>
      <c r="E142" s="560">
        <f t="shared" si="5"/>
        <v>140233.10703208062</v>
      </c>
    </row>
    <row r="143" spans="2:5" x14ac:dyDescent="0.2">
      <c r="B143" s="535">
        <v>128</v>
      </c>
      <c r="C143" s="560">
        <f t="shared" si="3"/>
        <v>409.01322884356847</v>
      </c>
      <c r="D143" s="536">
        <f t="shared" si="4"/>
        <v>-2450.5169365291322</v>
      </c>
      <c r="E143" s="560">
        <f t="shared" si="5"/>
        <v>137782.59009555148</v>
      </c>
    </row>
    <row r="144" spans="2:5" x14ac:dyDescent="0.2">
      <c r="B144" s="535">
        <v>129</v>
      </c>
      <c r="C144" s="560">
        <f t="shared" si="3"/>
        <v>401.86588777869184</v>
      </c>
      <c r="D144" s="536">
        <f t="shared" si="4"/>
        <v>-2457.6642775940086</v>
      </c>
      <c r="E144" s="560">
        <f t="shared" si="5"/>
        <v>135324.92581795747</v>
      </c>
    </row>
    <row r="145" spans="2:5" x14ac:dyDescent="0.2">
      <c r="B145" s="535">
        <v>130</v>
      </c>
      <c r="C145" s="560">
        <f t="shared" si="3"/>
        <v>394.69770030237601</v>
      </c>
      <c r="D145" s="536">
        <f t="shared" si="4"/>
        <v>-2464.8324650703244</v>
      </c>
      <c r="E145" s="560">
        <f t="shared" si="5"/>
        <v>132860.09335288714</v>
      </c>
    </row>
    <row r="146" spans="2:5" x14ac:dyDescent="0.2">
      <c r="B146" s="535">
        <v>131</v>
      </c>
      <c r="C146" s="560">
        <f t="shared" ref="C146:C209" si="6">IF(B146&gt;$C$9,,E145*$C$8/12)</f>
        <v>387.50860561258747</v>
      </c>
      <c r="D146" s="536">
        <f t="shared" ref="D146:D209" si="7">IF(B146&gt;$C$9,,$C$10+C146)</f>
        <v>-2472.0215597601132</v>
      </c>
      <c r="E146" s="560">
        <f t="shared" ref="E146:E209" si="8">E145+D146</f>
        <v>130388.07179312702</v>
      </c>
    </row>
    <row r="147" spans="2:5" x14ac:dyDescent="0.2">
      <c r="B147" s="535">
        <v>132</v>
      </c>
      <c r="C147" s="560">
        <f t="shared" si="6"/>
        <v>380.29854272995385</v>
      </c>
      <c r="D147" s="536">
        <f t="shared" si="7"/>
        <v>-2479.2316226427465</v>
      </c>
      <c r="E147" s="560">
        <f t="shared" si="8"/>
        <v>127908.84017048427</v>
      </c>
    </row>
    <row r="148" spans="2:5" x14ac:dyDescent="0.2">
      <c r="B148" s="535">
        <v>133</v>
      </c>
      <c r="C148" s="560">
        <f t="shared" si="6"/>
        <v>373.06745049724583</v>
      </c>
      <c r="D148" s="536">
        <f t="shared" si="7"/>
        <v>-2486.4627148754548</v>
      </c>
      <c r="E148" s="560">
        <f t="shared" si="8"/>
        <v>125422.37745560882</v>
      </c>
    </row>
    <row r="149" spans="2:5" x14ac:dyDescent="0.2">
      <c r="B149" s="535">
        <v>134</v>
      </c>
      <c r="C149" s="560">
        <f t="shared" si="6"/>
        <v>365.81526757885905</v>
      </c>
      <c r="D149" s="536">
        <f t="shared" si="7"/>
        <v>-2493.7148977938414</v>
      </c>
      <c r="E149" s="560">
        <f t="shared" si="8"/>
        <v>122928.66255781497</v>
      </c>
    </row>
    <row r="150" spans="2:5" x14ac:dyDescent="0.2">
      <c r="B150" s="535">
        <v>135</v>
      </c>
      <c r="C150" s="560">
        <f t="shared" si="6"/>
        <v>358.54193246029371</v>
      </c>
      <c r="D150" s="536">
        <f t="shared" si="7"/>
        <v>-2500.9882329124071</v>
      </c>
      <c r="E150" s="560">
        <f t="shared" si="8"/>
        <v>120427.67432490256</v>
      </c>
    </row>
    <row r="151" spans="2:5" x14ac:dyDescent="0.2">
      <c r="B151" s="535">
        <v>136</v>
      </c>
      <c r="C151" s="560">
        <f t="shared" si="6"/>
        <v>351.2473834476325</v>
      </c>
      <c r="D151" s="536">
        <f t="shared" si="7"/>
        <v>-2508.2827819250679</v>
      </c>
      <c r="E151" s="560">
        <f t="shared" si="8"/>
        <v>117919.39154297749</v>
      </c>
    </row>
    <row r="152" spans="2:5" x14ac:dyDescent="0.2">
      <c r="B152" s="535">
        <v>137</v>
      </c>
      <c r="C152" s="560">
        <f t="shared" si="6"/>
        <v>343.93155866701773</v>
      </c>
      <c r="D152" s="536">
        <f t="shared" si="7"/>
        <v>-2515.5986067056829</v>
      </c>
      <c r="E152" s="560">
        <f t="shared" si="8"/>
        <v>115403.79293627181</v>
      </c>
    </row>
    <row r="153" spans="2:5" x14ac:dyDescent="0.2">
      <c r="B153" s="535">
        <v>138</v>
      </c>
      <c r="C153" s="560">
        <f t="shared" si="6"/>
        <v>336.59439606412616</v>
      </c>
      <c r="D153" s="536">
        <f t="shared" si="7"/>
        <v>-2522.9357693085744</v>
      </c>
      <c r="E153" s="560">
        <f t="shared" si="8"/>
        <v>112880.85716696324</v>
      </c>
    </row>
    <row r="154" spans="2:5" x14ac:dyDescent="0.2">
      <c r="B154" s="535">
        <v>139</v>
      </c>
      <c r="C154" s="560">
        <f t="shared" si="6"/>
        <v>329.2358334036428</v>
      </c>
      <c r="D154" s="536">
        <f t="shared" si="7"/>
        <v>-2530.2943319690576</v>
      </c>
      <c r="E154" s="560">
        <f t="shared" si="8"/>
        <v>110350.56283499418</v>
      </c>
    </row>
    <row r="155" spans="2:5" x14ac:dyDescent="0.2">
      <c r="B155" s="535">
        <v>140</v>
      </c>
      <c r="C155" s="560">
        <f t="shared" si="6"/>
        <v>321.85580826873303</v>
      </c>
      <c r="D155" s="536">
        <f t="shared" si="7"/>
        <v>-2537.6743571039674</v>
      </c>
      <c r="E155" s="560">
        <f t="shared" si="8"/>
        <v>107812.88847789021</v>
      </c>
    </row>
    <row r="156" spans="2:5" x14ac:dyDescent="0.2">
      <c r="B156" s="535">
        <v>141</v>
      </c>
      <c r="C156" s="560">
        <f t="shared" si="6"/>
        <v>314.45425806051315</v>
      </c>
      <c r="D156" s="536">
        <f t="shared" si="7"/>
        <v>-2545.0759073121876</v>
      </c>
      <c r="E156" s="560">
        <f t="shared" si="8"/>
        <v>105267.81257057803</v>
      </c>
    </row>
    <row r="157" spans="2:5" x14ac:dyDescent="0.2">
      <c r="B157" s="535">
        <v>142</v>
      </c>
      <c r="C157" s="560">
        <f t="shared" si="6"/>
        <v>307.03111999751928</v>
      </c>
      <c r="D157" s="536">
        <f t="shared" si="7"/>
        <v>-2552.4990453751811</v>
      </c>
      <c r="E157" s="560">
        <f t="shared" si="8"/>
        <v>102715.31352520284</v>
      </c>
    </row>
    <row r="158" spans="2:5" x14ac:dyDescent="0.2">
      <c r="B158" s="535">
        <v>143</v>
      </c>
      <c r="C158" s="560">
        <f t="shared" si="6"/>
        <v>299.58633111517503</v>
      </c>
      <c r="D158" s="536">
        <f t="shared" si="7"/>
        <v>-2559.9438342575254</v>
      </c>
      <c r="E158" s="560">
        <f t="shared" si="8"/>
        <v>100155.36969094531</v>
      </c>
    </row>
    <row r="159" spans="2:5" x14ac:dyDescent="0.2">
      <c r="B159" s="535">
        <v>144</v>
      </c>
      <c r="C159" s="560">
        <f t="shared" si="6"/>
        <v>292.11982826525718</v>
      </c>
      <c r="D159" s="536">
        <f t="shared" si="7"/>
        <v>-2567.4103371074434</v>
      </c>
      <c r="E159" s="560">
        <f t="shared" si="8"/>
        <v>97587.959353837869</v>
      </c>
    </row>
    <row r="160" spans="2:5" x14ac:dyDescent="0.2">
      <c r="B160" s="535">
        <v>145</v>
      </c>
      <c r="C160" s="560">
        <f t="shared" si="6"/>
        <v>284.63154811536049</v>
      </c>
      <c r="D160" s="536">
        <f t="shared" si="7"/>
        <v>-2574.89861725734</v>
      </c>
      <c r="E160" s="560">
        <f t="shared" si="8"/>
        <v>95013.060736580534</v>
      </c>
    </row>
    <row r="161" spans="2:5" x14ac:dyDescent="0.2">
      <c r="B161" s="535">
        <v>146</v>
      </c>
      <c r="C161" s="560">
        <f t="shared" si="6"/>
        <v>277.12142714835994</v>
      </c>
      <c r="D161" s="536">
        <f t="shared" si="7"/>
        <v>-2582.4087382243406</v>
      </c>
      <c r="E161" s="560">
        <f t="shared" si="8"/>
        <v>92430.651998356188</v>
      </c>
    </row>
    <row r="162" spans="2:5" x14ac:dyDescent="0.2">
      <c r="B162" s="535">
        <v>147</v>
      </c>
      <c r="C162" s="560">
        <f t="shared" si="6"/>
        <v>269.58940166187227</v>
      </c>
      <c r="D162" s="536">
        <f t="shared" si="7"/>
        <v>-2589.9407637108284</v>
      </c>
      <c r="E162" s="560">
        <f t="shared" si="8"/>
        <v>89840.711234645365</v>
      </c>
    </row>
    <row r="163" spans="2:5" x14ac:dyDescent="0.2">
      <c r="B163" s="535">
        <v>148</v>
      </c>
      <c r="C163" s="560">
        <f t="shared" si="6"/>
        <v>262.03540776771564</v>
      </c>
      <c r="D163" s="536">
        <f t="shared" si="7"/>
        <v>-2597.4947576049849</v>
      </c>
      <c r="E163" s="560">
        <f t="shared" si="8"/>
        <v>87243.216477040376</v>
      </c>
    </row>
    <row r="164" spans="2:5" x14ac:dyDescent="0.2">
      <c r="B164" s="535">
        <v>149</v>
      </c>
      <c r="C164" s="560">
        <f t="shared" si="6"/>
        <v>254.45938139136777</v>
      </c>
      <c r="D164" s="536">
        <f t="shared" si="7"/>
        <v>-2605.0707839813326</v>
      </c>
      <c r="E164" s="560">
        <f t="shared" si="8"/>
        <v>84638.14569305905</v>
      </c>
    </row>
    <row r="165" spans="2:5" x14ac:dyDescent="0.2">
      <c r="B165" s="535">
        <v>150</v>
      </c>
      <c r="C165" s="560">
        <f t="shared" si="6"/>
        <v>246.86125827142226</v>
      </c>
      <c r="D165" s="536">
        <f t="shared" si="7"/>
        <v>-2612.6689071012784</v>
      </c>
      <c r="E165" s="560">
        <f t="shared" si="8"/>
        <v>82025.47678595777</v>
      </c>
    </row>
    <row r="166" spans="2:5" x14ac:dyDescent="0.2">
      <c r="B166" s="535">
        <v>151</v>
      </c>
      <c r="C166" s="560">
        <f t="shared" si="6"/>
        <v>239.24097395904354</v>
      </c>
      <c r="D166" s="536">
        <f t="shared" si="7"/>
        <v>-2620.2891914136571</v>
      </c>
      <c r="E166" s="560">
        <f t="shared" si="8"/>
        <v>79405.187594544113</v>
      </c>
    </row>
    <row r="167" spans="2:5" x14ac:dyDescent="0.2">
      <c r="B167" s="535">
        <v>152</v>
      </c>
      <c r="C167" s="560">
        <f t="shared" si="6"/>
        <v>231.59846381742034</v>
      </c>
      <c r="D167" s="536">
        <f t="shared" si="7"/>
        <v>-2627.9317015552801</v>
      </c>
      <c r="E167" s="560">
        <f t="shared" si="8"/>
        <v>76777.255892988833</v>
      </c>
    </row>
    <row r="168" spans="2:5" x14ac:dyDescent="0.2">
      <c r="B168" s="535">
        <v>153</v>
      </c>
      <c r="C168" s="560">
        <f t="shared" si="6"/>
        <v>223.93366302121743</v>
      </c>
      <c r="D168" s="536">
        <f t="shared" si="7"/>
        <v>-2635.5965023514832</v>
      </c>
      <c r="E168" s="560">
        <f t="shared" si="8"/>
        <v>74141.659390637345</v>
      </c>
    </row>
    <row r="169" spans="2:5" x14ac:dyDescent="0.2">
      <c r="B169" s="535">
        <v>154</v>
      </c>
      <c r="C169" s="560">
        <f t="shared" si="6"/>
        <v>216.24650655602559</v>
      </c>
      <c r="D169" s="536">
        <f t="shared" si="7"/>
        <v>-2643.2836588166751</v>
      </c>
      <c r="E169" s="560">
        <f t="shared" si="8"/>
        <v>71498.375731820677</v>
      </c>
    </row>
    <row r="170" spans="2:5" x14ac:dyDescent="0.2">
      <c r="B170" s="535">
        <v>155</v>
      </c>
      <c r="C170" s="560">
        <f t="shared" si="6"/>
        <v>208.53692921781033</v>
      </c>
      <c r="D170" s="536">
        <f t="shared" si="7"/>
        <v>-2650.9932361548904</v>
      </c>
      <c r="E170" s="560">
        <f t="shared" si="8"/>
        <v>68847.382495665792</v>
      </c>
    </row>
    <row r="171" spans="2:5" x14ac:dyDescent="0.2">
      <c r="B171" s="535">
        <v>156</v>
      </c>
      <c r="C171" s="560">
        <f t="shared" si="6"/>
        <v>200.80486561235855</v>
      </c>
      <c r="D171" s="536">
        <f t="shared" si="7"/>
        <v>-2658.7252997603418</v>
      </c>
      <c r="E171" s="560">
        <f t="shared" si="8"/>
        <v>66188.657195905456</v>
      </c>
    </row>
    <row r="172" spans="2:5" x14ac:dyDescent="0.2">
      <c r="B172" s="535">
        <v>157</v>
      </c>
      <c r="C172" s="560">
        <f t="shared" si="6"/>
        <v>193.05025015472427</v>
      </c>
      <c r="D172" s="536">
        <f t="shared" si="7"/>
        <v>-2666.4799152179762</v>
      </c>
      <c r="E172" s="560">
        <f t="shared" si="8"/>
        <v>63522.17728068748</v>
      </c>
    </row>
    <row r="173" spans="2:5" x14ac:dyDescent="0.2">
      <c r="B173" s="535">
        <v>158</v>
      </c>
      <c r="C173" s="560">
        <f t="shared" si="6"/>
        <v>185.27301706867183</v>
      </c>
      <c r="D173" s="536">
        <f t="shared" si="7"/>
        <v>-2674.2571483040288</v>
      </c>
      <c r="E173" s="560">
        <f t="shared" si="8"/>
        <v>60847.92013238345</v>
      </c>
    </row>
    <row r="174" spans="2:5" x14ac:dyDescent="0.2">
      <c r="B174" s="535">
        <v>159</v>
      </c>
      <c r="C174" s="560">
        <f t="shared" si="6"/>
        <v>177.4731003861184</v>
      </c>
      <c r="D174" s="536">
        <f t="shared" si="7"/>
        <v>-2682.0570649865822</v>
      </c>
      <c r="E174" s="560">
        <f t="shared" si="8"/>
        <v>58165.863067396866</v>
      </c>
    </row>
    <row r="175" spans="2:5" x14ac:dyDescent="0.2">
      <c r="B175" s="535">
        <v>160</v>
      </c>
      <c r="C175" s="560">
        <f t="shared" si="6"/>
        <v>169.65043394657422</v>
      </c>
      <c r="D175" s="536">
        <f t="shared" si="7"/>
        <v>-2689.8797314261265</v>
      </c>
      <c r="E175" s="560">
        <f t="shared" si="8"/>
        <v>55475.983335970741</v>
      </c>
    </row>
    <row r="176" spans="2:5" x14ac:dyDescent="0.2">
      <c r="B176" s="535">
        <v>161</v>
      </c>
      <c r="C176" s="560">
        <f t="shared" si="6"/>
        <v>161.80495139658134</v>
      </c>
      <c r="D176" s="536">
        <f t="shared" si="7"/>
        <v>-2697.7252139761194</v>
      </c>
      <c r="E176" s="560">
        <f t="shared" si="8"/>
        <v>52778.258121994622</v>
      </c>
    </row>
    <row r="177" spans="2:5" x14ac:dyDescent="0.2">
      <c r="B177" s="535">
        <v>162</v>
      </c>
      <c r="C177" s="560">
        <f t="shared" si="6"/>
        <v>153.936586189151</v>
      </c>
      <c r="D177" s="536">
        <f t="shared" si="7"/>
        <v>-2705.5935791835495</v>
      </c>
      <c r="E177" s="560">
        <f t="shared" si="8"/>
        <v>50072.664542811071</v>
      </c>
    </row>
    <row r="178" spans="2:5" x14ac:dyDescent="0.2">
      <c r="B178" s="535">
        <v>163</v>
      </c>
      <c r="C178" s="560">
        <f t="shared" si="6"/>
        <v>146.04527158319897</v>
      </c>
      <c r="D178" s="536">
        <f t="shared" si="7"/>
        <v>-2713.4848937895017</v>
      </c>
      <c r="E178" s="560">
        <f t="shared" si="8"/>
        <v>47359.179649021571</v>
      </c>
    </row>
    <row r="179" spans="2:5" x14ac:dyDescent="0.2">
      <c r="B179" s="535">
        <v>164</v>
      </c>
      <c r="C179" s="560">
        <f t="shared" si="6"/>
        <v>138.1309406429796</v>
      </c>
      <c r="D179" s="536">
        <f t="shared" si="7"/>
        <v>-2721.399224729721</v>
      </c>
      <c r="E179" s="560">
        <f t="shared" si="8"/>
        <v>44637.78042429185</v>
      </c>
    </row>
    <row r="180" spans="2:5" x14ac:dyDescent="0.2">
      <c r="B180" s="535">
        <v>165</v>
      </c>
      <c r="C180" s="560">
        <f t="shared" si="6"/>
        <v>130.19352623751791</v>
      </c>
      <c r="D180" s="536">
        <f t="shared" si="7"/>
        <v>-2729.3366391351828</v>
      </c>
      <c r="E180" s="560">
        <f t="shared" si="8"/>
        <v>41908.443785156669</v>
      </c>
    </row>
    <row r="181" spans="2:5" x14ac:dyDescent="0.2">
      <c r="B181" s="535">
        <v>166</v>
      </c>
      <c r="C181" s="560">
        <f t="shared" si="6"/>
        <v>122.23296104004031</v>
      </c>
      <c r="D181" s="536">
        <f t="shared" si="7"/>
        <v>-2737.2972043326604</v>
      </c>
      <c r="E181" s="560">
        <f t="shared" si="8"/>
        <v>39171.14658082401</v>
      </c>
    </row>
    <row r="182" spans="2:5" x14ac:dyDescent="0.2">
      <c r="B182" s="535">
        <v>167</v>
      </c>
      <c r="C182" s="560">
        <f t="shared" si="6"/>
        <v>114.24917752740338</v>
      </c>
      <c r="D182" s="536">
        <f t="shared" si="7"/>
        <v>-2745.2809878452972</v>
      </c>
      <c r="E182" s="560">
        <f t="shared" si="8"/>
        <v>36425.865592978713</v>
      </c>
    </row>
    <row r="183" spans="2:5" x14ac:dyDescent="0.2">
      <c r="B183" s="535">
        <v>168</v>
      </c>
      <c r="C183" s="560">
        <f t="shared" si="6"/>
        <v>106.24210797952126</v>
      </c>
      <c r="D183" s="536">
        <f t="shared" si="7"/>
        <v>-2753.2880573931793</v>
      </c>
      <c r="E183" s="560">
        <f t="shared" si="8"/>
        <v>33672.577535585537</v>
      </c>
    </row>
    <row r="184" spans="2:5" x14ac:dyDescent="0.2">
      <c r="B184" s="535">
        <v>169</v>
      </c>
      <c r="C184" s="560">
        <f t="shared" si="6"/>
        <v>98.211684478791156</v>
      </c>
      <c r="D184" s="536">
        <f t="shared" si="7"/>
        <v>-2761.3184808939095</v>
      </c>
      <c r="E184" s="560">
        <f t="shared" si="8"/>
        <v>30911.259054691625</v>
      </c>
    </row>
    <row r="185" spans="2:5" x14ac:dyDescent="0.2">
      <c r="B185" s="535">
        <v>170</v>
      </c>
      <c r="C185" s="560">
        <f t="shared" si="6"/>
        <v>90.157838909517253</v>
      </c>
      <c r="D185" s="536">
        <f t="shared" si="7"/>
        <v>-2769.3723264631835</v>
      </c>
      <c r="E185" s="560">
        <f t="shared" si="8"/>
        <v>28141.886728228441</v>
      </c>
    </row>
    <row r="186" spans="2:5" x14ac:dyDescent="0.2">
      <c r="B186" s="535">
        <v>171</v>
      </c>
      <c r="C186" s="560">
        <f t="shared" si="6"/>
        <v>82.080502957332968</v>
      </c>
      <c r="D186" s="536">
        <f t="shared" si="7"/>
        <v>-2777.4496624153676</v>
      </c>
      <c r="E186" s="560">
        <f t="shared" si="8"/>
        <v>25364.437065813072</v>
      </c>
    </row>
    <row r="187" spans="2:5" x14ac:dyDescent="0.2">
      <c r="B187" s="535">
        <v>172</v>
      </c>
      <c r="C187" s="560">
        <f t="shared" si="6"/>
        <v>73.979608108621463</v>
      </c>
      <c r="D187" s="536">
        <f t="shared" si="7"/>
        <v>-2785.5505572640791</v>
      </c>
      <c r="E187" s="560">
        <f t="shared" si="8"/>
        <v>22578.886508548992</v>
      </c>
    </row>
    <row r="188" spans="2:5" x14ac:dyDescent="0.2">
      <c r="B188" s="535">
        <v>173</v>
      </c>
      <c r="C188" s="560">
        <f t="shared" si="6"/>
        <v>65.855085649934566</v>
      </c>
      <c r="D188" s="536">
        <f t="shared" si="7"/>
        <v>-2793.675079722766</v>
      </c>
      <c r="E188" s="560">
        <f t="shared" si="8"/>
        <v>19785.211428826227</v>
      </c>
    </row>
    <row r="189" spans="2:5" x14ac:dyDescent="0.2">
      <c r="B189" s="535">
        <v>174</v>
      </c>
      <c r="C189" s="560">
        <f t="shared" si="6"/>
        <v>57.706866667409834</v>
      </c>
      <c r="D189" s="536">
        <f t="shared" si="7"/>
        <v>-2801.8232987052907</v>
      </c>
      <c r="E189" s="560">
        <f t="shared" si="8"/>
        <v>16983.388130120937</v>
      </c>
    </row>
    <row r="190" spans="2:5" x14ac:dyDescent="0.2">
      <c r="B190" s="535">
        <v>175</v>
      </c>
      <c r="C190" s="560">
        <f t="shared" si="6"/>
        <v>49.534882046186077</v>
      </c>
      <c r="D190" s="536">
        <f t="shared" si="7"/>
        <v>-2809.9952833265147</v>
      </c>
      <c r="E190" s="560">
        <f t="shared" si="8"/>
        <v>14173.392846794422</v>
      </c>
    </row>
    <row r="191" spans="2:5" x14ac:dyDescent="0.2">
      <c r="B191" s="535">
        <v>176</v>
      </c>
      <c r="C191" s="560">
        <f t="shared" si="6"/>
        <v>41.339062469817073</v>
      </c>
      <c r="D191" s="536">
        <f t="shared" si="7"/>
        <v>-2818.1911029028834</v>
      </c>
      <c r="E191" s="560">
        <f t="shared" si="8"/>
        <v>11355.201743891539</v>
      </c>
    </row>
    <row r="192" spans="2:5" x14ac:dyDescent="0.2">
      <c r="B192" s="535">
        <v>177</v>
      </c>
      <c r="C192" s="560">
        <f t="shared" si="6"/>
        <v>33.119338419683658</v>
      </c>
      <c r="D192" s="536">
        <f t="shared" si="7"/>
        <v>-2826.410826953017</v>
      </c>
      <c r="E192" s="560">
        <f t="shared" si="8"/>
        <v>8528.7909169385221</v>
      </c>
    </row>
    <row r="193" spans="2:5" x14ac:dyDescent="0.2">
      <c r="B193" s="535">
        <v>178</v>
      </c>
      <c r="C193" s="560">
        <f t="shared" si="6"/>
        <v>24.875640174404026</v>
      </c>
      <c r="D193" s="536">
        <f t="shared" si="7"/>
        <v>-2834.6545251982966</v>
      </c>
      <c r="E193" s="560">
        <f t="shared" si="8"/>
        <v>5694.136391740225</v>
      </c>
    </row>
    <row r="194" spans="2:5" x14ac:dyDescent="0.2">
      <c r="B194" s="535">
        <v>179</v>
      </c>
      <c r="C194" s="560">
        <f t="shared" si="6"/>
        <v>16.607897809242324</v>
      </c>
      <c r="D194" s="536">
        <f t="shared" si="7"/>
        <v>-2842.9222675634583</v>
      </c>
      <c r="E194" s="560">
        <f t="shared" si="8"/>
        <v>2851.2141241767667</v>
      </c>
    </row>
    <row r="195" spans="2:5" x14ac:dyDescent="0.2">
      <c r="B195" s="535">
        <v>180</v>
      </c>
      <c r="C195" s="560">
        <f t="shared" si="6"/>
        <v>8.3160411955155702</v>
      </c>
      <c r="D195" s="536">
        <f t="shared" si="7"/>
        <v>-2851.2141241771851</v>
      </c>
      <c r="E195" s="560">
        <f t="shared" si="8"/>
        <v>-4.1836756281554699E-10</v>
      </c>
    </row>
    <row r="196" spans="2:5" x14ac:dyDescent="0.2">
      <c r="B196" s="535">
        <v>181</v>
      </c>
      <c r="C196" s="560">
        <f t="shared" si="6"/>
        <v>0</v>
      </c>
      <c r="D196" s="536">
        <f t="shared" si="7"/>
        <v>0</v>
      </c>
      <c r="E196" s="560">
        <f t="shared" si="8"/>
        <v>-4.1836756281554699E-10</v>
      </c>
    </row>
    <row r="197" spans="2:5" x14ac:dyDescent="0.2">
      <c r="B197" s="535">
        <v>182</v>
      </c>
      <c r="C197" s="560">
        <f t="shared" si="6"/>
        <v>0</v>
      </c>
      <c r="D197" s="536">
        <f t="shared" si="7"/>
        <v>0</v>
      </c>
      <c r="E197" s="560">
        <f t="shared" si="8"/>
        <v>-4.1836756281554699E-10</v>
      </c>
    </row>
    <row r="198" spans="2:5" x14ac:dyDescent="0.2">
      <c r="B198" s="535">
        <v>183</v>
      </c>
      <c r="C198" s="560">
        <f t="shared" si="6"/>
        <v>0</v>
      </c>
      <c r="D198" s="536">
        <f t="shared" si="7"/>
        <v>0</v>
      </c>
      <c r="E198" s="560">
        <f t="shared" si="8"/>
        <v>-4.1836756281554699E-10</v>
      </c>
    </row>
    <row r="199" spans="2:5" x14ac:dyDescent="0.2">
      <c r="B199" s="535">
        <v>184</v>
      </c>
      <c r="C199" s="560">
        <f t="shared" si="6"/>
        <v>0</v>
      </c>
      <c r="D199" s="536">
        <f t="shared" si="7"/>
        <v>0</v>
      </c>
      <c r="E199" s="560">
        <f t="shared" si="8"/>
        <v>-4.1836756281554699E-10</v>
      </c>
    </row>
    <row r="200" spans="2:5" x14ac:dyDescent="0.2">
      <c r="B200" s="535">
        <v>185</v>
      </c>
      <c r="C200" s="560">
        <f t="shared" si="6"/>
        <v>0</v>
      </c>
      <c r="D200" s="536">
        <f t="shared" si="7"/>
        <v>0</v>
      </c>
      <c r="E200" s="560">
        <f t="shared" si="8"/>
        <v>-4.1836756281554699E-10</v>
      </c>
    </row>
    <row r="201" spans="2:5" x14ac:dyDescent="0.2">
      <c r="B201" s="535">
        <v>186</v>
      </c>
      <c r="C201" s="560">
        <f t="shared" si="6"/>
        <v>0</v>
      </c>
      <c r="D201" s="536">
        <f t="shared" si="7"/>
        <v>0</v>
      </c>
      <c r="E201" s="560">
        <f t="shared" si="8"/>
        <v>-4.1836756281554699E-10</v>
      </c>
    </row>
    <row r="202" spans="2:5" x14ac:dyDescent="0.2">
      <c r="B202" s="535">
        <v>187</v>
      </c>
      <c r="C202" s="560">
        <f t="shared" si="6"/>
        <v>0</v>
      </c>
      <c r="D202" s="536">
        <f t="shared" si="7"/>
        <v>0</v>
      </c>
      <c r="E202" s="560">
        <f t="shared" si="8"/>
        <v>-4.1836756281554699E-10</v>
      </c>
    </row>
    <row r="203" spans="2:5" x14ac:dyDescent="0.2">
      <c r="B203" s="535">
        <v>188</v>
      </c>
      <c r="C203" s="560">
        <f t="shared" si="6"/>
        <v>0</v>
      </c>
      <c r="D203" s="536">
        <f t="shared" si="7"/>
        <v>0</v>
      </c>
      <c r="E203" s="560">
        <f t="shared" si="8"/>
        <v>-4.1836756281554699E-10</v>
      </c>
    </row>
    <row r="204" spans="2:5" x14ac:dyDescent="0.2">
      <c r="B204" s="535">
        <v>189</v>
      </c>
      <c r="C204" s="560">
        <f t="shared" si="6"/>
        <v>0</v>
      </c>
      <c r="D204" s="536">
        <f t="shared" si="7"/>
        <v>0</v>
      </c>
      <c r="E204" s="560">
        <f t="shared" si="8"/>
        <v>-4.1836756281554699E-10</v>
      </c>
    </row>
    <row r="205" spans="2:5" x14ac:dyDescent="0.2">
      <c r="B205" s="535">
        <v>190</v>
      </c>
      <c r="C205" s="560">
        <f t="shared" si="6"/>
        <v>0</v>
      </c>
      <c r="D205" s="536">
        <f t="shared" si="7"/>
        <v>0</v>
      </c>
      <c r="E205" s="560">
        <f t="shared" si="8"/>
        <v>-4.1836756281554699E-10</v>
      </c>
    </row>
    <row r="206" spans="2:5" x14ac:dyDescent="0.2">
      <c r="B206" s="535">
        <v>191</v>
      </c>
      <c r="C206" s="560">
        <f t="shared" si="6"/>
        <v>0</v>
      </c>
      <c r="D206" s="536">
        <f t="shared" si="7"/>
        <v>0</v>
      </c>
      <c r="E206" s="560">
        <f t="shared" si="8"/>
        <v>-4.1836756281554699E-10</v>
      </c>
    </row>
    <row r="207" spans="2:5" x14ac:dyDescent="0.2">
      <c r="B207" s="535">
        <v>192</v>
      </c>
      <c r="C207" s="560">
        <f t="shared" si="6"/>
        <v>0</v>
      </c>
      <c r="D207" s="536">
        <f t="shared" si="7"/>
        <v>0</v>
      </c>
      <c r="E207" s="560">
        <f t="shared" si="8"/>
        <v>-4.1836756281554699E-10</v>
      </c>
    </row>
    <row r="208" spans="2:5" x14ac:dyDescent="0.2">
      <c r="B208" s="535">
        <v>193</v>
      </c>
      <c r="C208" s="560">
        <f t="shared" si="6"/>
        <v>0</v>
      </c>
      <c r="D208" s="536">
        <f t="shared" si="7"/>
        <v>0</v>
      </c>
      <c r="E208" s="560">
        <f t="shared" si="8"/>
        <v>-4.1836756281554699E-10</v>
      </c>
    </row>
    <row r="209" spans="2:5" x14ac:dyDescent="0.2">
      <c r="B209" s="535">
        <v>194</v>
      </c>
      <c r="C209" s="560">
        <f t="shared" si="6"/>
        <v>0</v>
      </c>
      <c r="D209" s="536">
        <f t="shared" si="7"/>
        <v>0</v>
      </c>
      <c r="E209" s="560">
        <f t="shared" si="8"/>
        <v>-4.1836756281554699E-10</v>
      </c>
    </row>
    <row r="210" spans="2:5" x14ac:dyDescent="0.2">
      <c r="B210" s="535">
        <v>195</v>
      </c>
      <c r="C210" s="560">
        <f t="shared" ref="C210:C273" si="9">IF(B210&gt;$C$9,,E209*$C$8/12)</f>
        <v>0</v>
      </c>
      <c r="D210" s="536">
        <f t="shared" ref="D210:D273" si="10">IF(B210&gt;$C$9,,$C$10+C210)</f>
        <v>0</v>
      </c>
      <c r="E210" s="560">
        <f t="shared" ref="E210:E273" si="11">E209+D210</f>
        <v>-4.1836756281554699E-10</v>
      </c>
    </row>
    <row r="211" spans="2:5" x14ac:dyDescent="0.2">
      <c r="B211" s="535">
        <v>196</v>
      </c>
      <c r="C211" s="560">
        <f t="shared" si="9"/>
        <v>0</v>
      </c>
      <c r="D211" s="536">
        <f t="shared" si="10"/>
        <v>0</v>
      </c>
      <c r="E211" s="560">
        <f t="shared" si="11"/>
        <v>-4.1836756281554699E-10</v>
      </c>
    </row>
    <row r="212" spans="2:5" x14ac:dyDescent="0.2">
      <c r="B212" s="535">
        <v>197</v>
      </c>
      <c r="C212" s="560">
        <f t="shared" si="9"/>
        <v>0</v>
      </c>
      <c r="D212" s="536">
        <f t="shared" si="10"/>
        <v>0</v>
      </c>
      <c r="E212" s="560">
        <f t="shared" si="11"/>
        <v>-4.1836756281554699E-10</v>
      </c>
    </row>
    <row r="213" spans="2:5" x14ac:dyDescent="0.2">
      <c r="B213" s="535">
        <v>198</v>
      </c>
      <c r="C213" s="560">
        <f t="shared" si="9"/>
        <v>0</v>
      </c>
      <c r="D213" s="536">
        <f t="shared" si="10"/>
        <v>0</v>
      </c>
      <c r="E213" s="560">
        <f t="shared" si="11"/>
        <v>-4.1836756281554699E-10</v>
      </c>
    </row>
    <row r="214" spans="2:5" x14ac:dyDescent="0.2">
      <c r="B214" s="535">
        <v>199</v>
      </c>
      <c r="C214" s="560">
        <f t="shared" si="9"/>
        <v>0</v>
      </c>
      <c r="D214" s="536">
        <f t="shared" si="10"/>
        <v>0</v>
      </c>
      <c r="E214" s="560">
        <f t="shared" si="11"/>
        <v>-4.1836756281554699E-10</v>
      </c>
    </row>
    <row r="215" spans="2:5" x14ac:dyDescent="0.2">
      <c r="B215" s="535">
        <v>200</v>
      </c>
      <c r="C215" s="560">
        <f t="shared" si="9"/>
        <v>0</v>
      </c>
      <c r="D215" s="536">
        <f t="shared" si="10"/>
        <v>0</v>
      </c>
      <c r="E215" s="560">
        <f t="shared" si="11"/>
        <v>-4.1836756281554699E-10</v>
      </c>
    </row>
    <row r="216" spans="2:5" x14ac:dyDescent="0.2">
      <c r="B216" s="535">
        <v>201</v>
      </c>
      <c r="C216" s="560">
        <f t="shared" si="9"/>
        <v>0</v>
      </c>
      <c r="D216" s="536">
        <f t="shared" si="10"/>
        <v>0</v>
      </c>
      <c r="E216" s="560">
        <f t="shared" si="11"/>
        <v>-4.1836756281554699E-10</v>
      </c>
    </row>
    <row r="217" spans="2:5" x14ac:dyDescent="0.2">
      <c r="B217" s="535">
        <v>202</v>
      </c>
      <c r="C217" s="560">
        <f t="shared" si="9"/>
        <v>0</v>
      </c>
      <c r="D217" s="536">
        <f t="shared" si="10"/>
        <v>0</v>
      </c>
      <c r="E217" s="560">
        <f t="shared" si="11"/>
        <v>-4.1836756281554699E-10</v>
      </c>
    </row>
    <row r="218" spans="2:5" x14ac:dyDescent="0.2">
      <c r="B218" s="535">
        <v>203</v>
      </c>
      <c r="C218" s="560">
        <f t="shared" si="9"/>
        <v>0</v>
      </c>
      <c r="D218" s="536">
        <f t="shared" si="10"/>
        <v>0</v>
      </c>
      <c r="E218" s="560">
        <f t="shared" si="11"/>
        <v>-4.1836756281554699E-10</v>
      </c>
    </row>
    <row r="219" spans="2:5" x14ac:dyDescent="0.2">
      <c r="B219" s="535">
        <v>204</v>
      </c>
      <c r="C219" s="560">
        <f t="shared" si="9"/>
        <v>0</v>
      </c>
      <c r="D219" s="536">
        <f t="shared" si="10"/>
        <v>0</v>
      </c>
      <c r="E219" s="560">
        <f t="shared" si="11"/>
        <v>-4.1836756281554699E-10</v>
      </c>
    </row>
    <row r="220" spans="2:5" x14ac:dyDescent="0.2">
      <c r="B220" s="535">
        <v>205</v>
      </c>
      <c r="C220" s="560">
        <f t="shared" si="9"/>
        <v>0</v>
      </c>
      <c r="D220" s="536">
        <f t="shared" si="10"/>
        <v>0</v>
      </c>
      <c r="E220" s="560">
        <f t="shared" si="11"/>
        <v>-4.1836756281554699E-10</v>
      </c>
    </row>
    <row r="221" spans="2:5" x14ac:dyDescent="0.2">
      <c r="B221" s="535">
        <v>206</v>
      </c>
      <c r="C221" s="560">
        <f t="shared" si="9"/>
        <v>0</v>
      </c>
      <c r="D221" s="536">
        <f t="shared" si="10"/>
        <v>0</v>
      </c>
      <c r="E221" s="560">
        <f t="shared" si="11"/>
        <v>-4.1836756281554699E-10</v>
      </c>
    </row>
    <row r="222" spans="2:5" x14ac:dyDescent="0.2">
      <c r="B222" s="535">
        <v>207</v>
      </c>
      <c r="C222" s="560">
        <f t="shared" si="9"/>
        <v>0</v>
      </c>
      <c r="D222" s="536">
        <f t="shared" si="10"/>
        <v>0</v>
      </c>
      <c r="E222" s="560">
        <f t="shared" si="11"/>
        <v>-4.1836756281554699E-10</v>
      </c>
    </row>
    <row r="223" spans="2:5" x14ac:dyDescent="0.2">
      <c r="B223" s="535">
        <v>208</v>
      </c>
      <c r="C223" s="560">
        <f t="shared" si="9"/>
        <v>0</v>
      </c>
      <c r="D223" s="536">
        <f t="shared" si="10"/>
        <v>0</v>
      </c>
      <c r="E223" s="560">
        <f t="shared" si="11"/>
        <v>-4.1836756281554699E-10</v>
      </c>
    </row>
    <row r="224" spans="2:5" x14ac:dyDescent="0.2">
      <c r="B224" s="535">
        <v>209</v>
      </c>
      <c r="C224" s="560">
        <f t="shared" si="9"/>
        <v>0</v>
      </c>
      <c r="D224" s="536">
        <f t="shared" si="10"/>
        <v>0</v>
      </c>
      <c r="E224" s="560">
        <f t="shared" si="11"/>
        <v>-4.1836756281554699E-10</v>
      </c>
    </row>
    <row r="225" spans="2:5" x14ac:dyDescent="0.2">
      <c r="B225" s="535">
        <v>210</v>
      </c>
      <c r="C225" s="560">
        <f t="shared" si="9"/>
        <v>0</v>
      </c>
      <c r="D225" s="536">
        <f t="shared" si="10"/>
        <v>0</v>
      </c>
      <c r="E225" s="560">
        <f t="shared" si="11"/>
        <v>-4.1836756281554699E-10</v>
      </c>
    </row>
    <row r="226" spans="2:5" x14ac:dyDescent="0.2">
      <c r="B226" s="535">
        <v>211</v>
      </c>
      <c r="C226" s="560">
        <f t="shared" si="9"/>
        <v>0</v>
      </c>
      <c r="D226" s="536">
        <f t="shared" si="10"/>
        <v>0</v>
      </c>
      <c r="E226" s="560">
        <f t="shared" si="11"/>
        <v>-4.1836756281554699E-10</v>
      </c>
    </row>
    <row r="227" spans="2:5" x14ac:dyDescent="0.2">
      <c r="B227" s="535">
        <v>212</v>
      </c>
      <c r="C227" s="560">
        <f t="shared" si="9"/>
        <v>0</v>
      </c>
      <c r="D227" s="536">
        <f t="shared" si="10"/>
        <v>0</v>
      </c>
      <c r="E227" s="560">
        <f t="shared" si="11"/>
        <v>-4.1836756281554699E-10</v>
      </c>
    </row>
    <row r="228" spans="2:5" x14ac:dyDescent="0.2">
      <c r="B228" s="535">
        <v>213</v>
      </c>
      <c r="C228" s="560">
        <f t="shared" si="9"/>
        <v>0</v>
      </c>
      <c r="D228" s="536">
        <f t="shared" si="10"/>
        <v>0</v>
      </c>
      <c r="E228" s="560">
        <f t="shared" si="11"/>
        <v>-4.1836756281554699E-10</v>
      </c>
    </row>
    <row r="229" spans="2:5" x14ac:dyDescent="0.2">
      <c r="B229" s="535">
        <v>214</v>
      </c>
      <c r="C229" s="560">
        <f t="shared" si="9"/>
        <v>0</v>
      </c>
      <c r="D229" s="536">
        <f t="shared" si="10"/>
        <v>0</v>
      </c>
      <c r="E229" s="560">
        <f t="shared" si="11"/>
        <v>-4.1836756281554699E-10</v>
      </c>
    </row>
    <row r="230" spans="2:5" x14ac:dyDescent="0.2">
      <c r="B230" s="535">
        <v>215</v>
      </c>
      <c r="C230" s="560">
        <f t="shared" si="9"/>
        <v>0</v>
      </c>
      <c r="D230" s="536">
        <f t="shared" si="10"/>
        <v>0</v>
      </c>
      <c r="E230" s="560">
        <f t="shared" si="11"/>
        <v>-4.1836756281554699E-10</v>
      </c>
    </row>
    <row r="231" spans="2:5" x14ac:dyDescent="0.2">
      <c r="B231" s="535">
        <v>216</v>
      </c>
      <c r="C231" s="560">
        <f t="shared" si="9"/>
        <v>0</v>
      </c>
      <c r="D231" s="536">
        <f t="shared" si="10"/>
        <v>0</v>
      </c>
      <c r="E231" s="560">
        <f t="shared" si="11"/>
        <v>-4.1836756281554699E-10</v>
      </c>
    </row>
    <row r="232" spans="2:5" x14ac:dyDescent="0.2">
      <c r="B232" s="535">
        <v>217</v>
      </c>
      <c r="C232" s="560">
        <f t="shared" si="9"/>
        <v>0</v>
      </c>
      <c r="D232" s="536">
        <f t="shared" si="10"/>
        <v>0</v>
      </c>
      <c r="E232" s="560">
        <f t="shared" si="11"/>
        <v>-4.1836756281554699E-10</v>
      </c>
    </row>
    <row r="233" spans="2:5" x14ac:dyDescent="0.2">
      <c r="B233" s="535">
        <v>218</v>
      </c>
      <c r="C233" s="560">
        <f t="shared" si="9"/>
        <v>0</v>
      </c>
      <c r="D233" s="536">
        <f t="shared" si="10"/>
        <v>0</v>
      </c>
      <c r="E233" s="560">
        <f t="shared" si="11"/>
        <v>-4.1836756281554699E-10</v>
      </c>
    </row>
    <row r="234" spans="2:5" x14ac:dyDescent="0.2">
      <c r="B234" s="535">
        <v>219</v>
      </c>
      <c r="C234" s="560">
        <f t="shared" si="9"/>
        <v>0</v>
      </c>
      <c r="D234" s="536">
        <f t="shared" si="10"/>
        <v>0</v>
      </c>
      <c r="E234" s="560">
        <f t="shared" si="11"/>
        <v>-4.1836756281554699E-10</v>
      </c>
    </row>
    <row r="235" spans="2:5" x14ac:dyDescent="0.2">
      <c r="B235" s="535">
        <v>220</v>
      </c>
      <c r="C235" s="560">
        <f t="shared" si="9"/>
        <v>0</v>
      </c>
      <c r="D235" s="536">
        <f t="shared" si="10"/>
        <v>0</v>
      </c>
      <c r="E235" s="560">
        <f t="shared" si="11"/>
        <v>-4.1836756281554699E-10</v>
      </c>
    </row>
    <row r="236" spans="2:5" x14ac:dyDescent="0.2">
      <c r="B236" s="535">
        <v>221</v>
      </c>
      <c r="C236" s="560">
        <f t="shared" si="9"/>
        <v>0</v>
      </c>
      <c r="D236" s="536">
        <f t="shared" si="10"/>
        <v>0</v>
      </c>
      <c r="E236" s="560">
        <f t="shared" si="11"/>
        <v>-4.1836756281554699E-10</v>
      </c>
    </row>
    <row r="237" spans="2:5" x14ac:dyDescent="0.2">
      <c r="B237" s="535">
        <v>222</v>
      </c>
      <c r="C237" s="560">
        <f t="shared" si="9"/>
        <v>0</v>
      </c>
      <c r="D237" s="536">
        <f t="shared" si="10"/>
        <v>0</v>
      </c>
      <c r="E237" s="560">
        <f t="shared" si="11"/>
        <v>-4.1836756281554699E-10</v>
      </c>
    </row>
    <row r="238" spans="2:5" x14ac:dyDescent="0.2">
      <c r="B238" s="535">
        <v>223</v>
      </c>
      <c r="C238" s="560">
        <f t="shared" si="9"/>
        <v>0</v>
      </c>
      <c r="D238" s="536">
        <f t="shared" si="10"/>
        <v>0</v>
      </c>
      <c r="E238" s="560">
        <f t="shared" si="11"/>
        <v>-4.1836756281554699E-10</v>
      </c>
    </row>
    <row r="239" spans="2:5" x14ac:dyDescent="0.2">
      <c r="B239" s="535">
        <v>224</v>
      </c>
      <c r="C239" s="560">
        <f t="shared" si="9"/>
        <v>0</v>
      </c>
      <c r="D239" s="536">
        <f t="shared" si="10"/>
        <v>0</v>
      </c>
      <c r="E239" s="560">
        <f t="shared" si="11"/>
        <v>-4.1836756281554699E-10</v>
      </c>
    </row>
    <row r="240" spans="2:5" x14ac:dyDescent="0.2">
      <c r="B240" s="535">
        <v>225</v>
      </c>
      <c r="C240" s="560">
        <f t="shared" si="9"/>
        <v>0</v>
      </c>
      <c r="D240" s="536">
        <f t="shared" si="10"/>
        <v>0</v>
      </c>
      <c r="E240" s="560">
        <f t="shared" si="11"/>
        <v>-4.1836756281554699E-10</v>
      </c>
    </row>
    <row r="241" spans="2:5" x14ac:dyDescent="0.2">
      <c r="B241" s="535">
        <v>226</v>
      </c>
      <c r="C241" s="560">
        <f t="shared" si="9"/>
        <v>0</v>
      </c>
      <c r="D241" s="536">
        <f t="shared" si="10"/>
        <v>0</v>
      </c>
      <c r="E241" s="560">
        <f t="shared" si="11"/>
        <v>-4.1836756281554699E-10</v>
      </c>
    </row>
    <row r="242" spans="2:5" x14ac:dyDescent="0.2">
      <c r="B242" s="535">
        <v>227</v>
      </c>
      <c r="C242" s="560">
        <f t="shared" si="9"/>
        <v>0</v>
      </c>
      <c r="D242" s="536">
        <f t="shared" si="10"/>
        <v>0</v>
      </c>
      <c r="E242" s="560">
        <f t="shared" si="11"/>
        <v>-4.1836756281554699E-10</v>
      </c>
    </row>
    <row r="243" spans="2:5" x14ac:dyDescent="0.2">
      <c r="B243" s="535">
        <v>228</v>
      </c>
      <c r="C243" s="560">
        <f t="shared" si="9"/>
        <v>0</v>
      </c>
      <c r="D243" s="536">
        <f t="shared" si="10"/>
        <v>0</v>
      </c>
      <c r="E243" s="560">
        <f t="shared" si="11"/>
        <v>-4.1836756281554699E-10</v>
      </c>
    </row>
    <row r="244" spans="2:5" x14ac:dyDescent="0.2">
      <c r="B244" s="535">
        <v>229</v>
      </c>
      <c r="C244" s="560">
        <f t="shared" si="9"/>
        <v>0</v>
      </c>
      <c r="D244" s="536">
        <f t="shared" si="10"/>
        <v>0</v>
      </c>
      <c r="E244" s="560">
        <f t="shared" si="11"/>
        <v>-4.1836756281554699E-10</v>
      </c>
    </row>
    <row r="245" spans="2:5" x14ac:dyDescent="0.2">
      <c r="B245" s="535">
        <v>230</v>
      </c>
      <c r="C245" s="560">
        <f t="shared" si="9"/>
        <v>0</v>
      </c>
      <c r="D245" s="536">
        <f t="shared" si="10"/>
        <v>0</v>
      </c>
      <c r="E245" s="560">
        <f t="shared" si="11"/>
        <v>-4.1836756281554699E-10</v>
      </c>
    </row>
    <row r="246" spans="2:5" x14ac:dyDescent="0.2">
      <c r="B246" s="535">
        <v>231</v>
      </c>
      <c r="C246" s="560">
        <f t="shared" si="9"/>
        <v>0</v>
      </c>
      <c r="D246" s="536">
        <f t="shared" si="10"/>
        <v>0</v>
      </c>
      <c r="E246" s="560">
        <f t="shared" si="11"/>
        <v>-4.1836756281554699E-10</v>
      </c>
    </row>
    <row r="247" spans="2:5" x14ac:dyDescent="0.2">
      <c r="B247" s="535">
        <v>232</v>
      </c>
      <c r="C247" s="560">
        <f t="shared" si="9"/>
        <v>0</v>
      </c>
      <c r="D247" s="536">
        <f t="shared" si="10"/>
        <v>0</v>
      </c>
      <c r="E247" s="560">
        <f t="shared" si="11"/>
        <v>-4.1836756281554699E-10</v>
      </c>
    </row>
    <row r="248" spans="2:5" x14ac:dyDescent="0.2">
      <c r="B248" s="535">
        <v>233</v>
      </c>
      <c r="C248" s="560">
        <f t="shared" si="9"/>
        <v>0</v>
      </c>
      <c r="D248" s="536">
        <f t="shared" si="10"/>
        <v>0</v>
      </c>
      <c r="E248" s="560">
        <f t="shared" si="11"/>
        <v>-4.1836756281554699E-10</v>
      </c>
    </row>
    <row r="249" spans="2:5" x14ac:dyDescent="0.2">
      <c r="B249" s="535">
        <v>234</v>
      </c>
      <c r="C249" s="560">
        <f t="shared" si="9"/>
        <v>0</v>
      </c>
      <c r="D249" s="536">
        <f t="shared" si="10"/>
        <v>0</v>
      </c>
      <c r="E249" s="560">
        <f t="shared" si="11"/>
        <v>-4.1836756281554699E-10</v>
      </c>
    </row>
    <row r="250" spans="2:5" x14ac:dyDescent="0.2">
      <c r="B250" s="535">
        <v>235</v>
      </c>
      <c r="C250" s="560">
        <f t="shared" si="9"/>
        <v>0</v>
      </c>
      <c r="D250" s="536">
        <f t="shared" si="10"/>
        <v>0</v>
      </c>
      <c r="E250" s="560">
        <f t="shared" si="11"/>
        <v>-4.1836756281554699E-10</v>
      </c>
    </row>
    <row r="251" spans="2:5" x14ac:dyDescent="0.2">
      <c r="B251" s="535">
        <v>236</v>
      </c>
      <c r="C251" s="560">
        <f t="shared" si="9"/>
        <v>0</v>
      </c>
      <c r="D251" s="536">
        <f t="shared" si="10"/>
        <v>0</v>
      </c>
      <c r="E251" s="560">
        <f t="shared" si="11"/>
        <v>-4.1836756281554699E-10</v>
      </c>
    </row>
    <row r="252" spans="2:5" x14ac:dyDescent="0.2">
      <c r="B252" s="535">
        <v>237</v>
      </c>
      <c r="C252" s="560">
        <f t="shared" si="9"/>
        <v>0</v>
      </c>
      <c r="D252" s="536">
        <f t="shared" si="10"/>
        <v>0</v>
      </c>
      <c r="E252" s="560">
        <f t="shared" si="11"/>
        <v>-4.1836756281554699E-10</v>
      </c>
    </row>
    <row r="253" spans="2:5" x14ac:dyDescent="0.2">
      <c r="B253" s="535">
        <v>238</v>
      </c>
      <c r="C253" s="560">
        <f t="shared" si="9"/>
        <v>0</v>
      </c>
      <c r="D253" s="536">
        <f t="shared" si="10"/>
        <v>0</v>
      </c>
      <c r="E253" s="560">
        <f t="shared" si="11"/>
        <v>-4.1836756281554699E-10</v>
      </c>
    </row>
    <row r="254" spans="2:5" x14ac:dyDescent="0.2">
      <c r="B254" s="535">
        <v>239</v>
      </c>
      <c r="C254" s="560">
        <f t="shared" si="9"/>
        <v>0</v>
      </c>
      <c r="D254" s="536">
        <f t="shared" si="10"/>
        <v>0</v>
      </c>
      <c r="E254" s="560">
        <f t="shared" si="11"/>
        <v>-4.1836756281554699E-10</v>
      </c>
    </row>
    <row r="255" spans="2:5" x14ac:dyDescent="0.2">
      <c r="B255" s="535">
        <v>240</v>
      </c>
      <c r="C255" s="560">
        <f t="shared" si="9"/>
        <v>0</v>
      </c>
      <c r="D255" s="536">
        <f t="shared" si="10"/>
        <v>0</v>
      </c>
      <c r="E255" s="560">
        <f t="shared" si="11"/>
        <v>-4.1836756281554699E-10</v>
      </c>
    </row>
    <row r="256" spans="2:5" x14ac:dyDescent="0.2">
      <c r="B256" s="535">
        <v>241</v>
      </c>
      <c r="C256" s="560">
        <f t="shared" si="9"/>
        <v>0</v>
      </c>
      <c r="D256" s="536">
        <f t="shared" si="10"/>
        <v>0</v>
      </c>
      <c r="E256" s="560">
        <f t="shared" si="11"/>
        <v>-4.1836756281554699E-10</v>
      </c>
    </row>
    <row r="257" spans="2:5" x14ac:dyDescent="0.2">
      <c r="B257" s="535">
        <v>242</v>
      </c>
      <c r="C257" s="560">
        <f t="shared" si="9"/>
        <v>0</v>
      </c>
      <c r="D257" s="536">
        <f t="shared" si="10"/>
        <v>0</v>
      </c>
      <c r="E257" s="560">
        <f t="shared" si="11"/>
        <v>-4.1836756281554699E-10</v>
      </c>
    </row>
    <row r="258" spans="2:5" x14ac:dyDescent="0.2">
      <c r="B258" s="535">
        <v>243</v>
      </c>
      <c r="C258" s="560">
        <f t="shared" si="9"/>
        <v>0</v>
      </c>
      <c r="D258" s="536">
        <f t="shared" si="10"/>
        <v>0</v>
      </c>
      <c r="E258" s="560">
        <f t="shared" si="11"/>
        <v>-4.1836756281554699E-10</v>
      </c>
    </row>
    <row r="259" spans="2:5" x14ac:dyDescent="0.2">
      <c r="B259" s="535">
        <v>244</v>
      </c>
      <c r="C259" s="560">
        <f t="shared" si="9"/>
        <v>0</v>
      </c>
      <c r="D259" s="536">
        <f t="shared" si="10"/>
        <v>0</v>
      </c>
      <c r="E259" s="560">
        <f t="shared" si="11"/>
        <v>-4.1836756281554699E-10</v>
      </c>
    </row>
    <row r="260" spans="2:5" x14ac:dyDescent="0.2">
      <c r="B260" s="535">
        <v>245</v>
      </c>
      <c r="C260" s="560">
        <f t="shared" si="9"/>
        <v>0</v>
      </c>
      <c r="D260" s="536">
        <f t="shared" si="10"/>
        <v>0</v>
      </c>
      <c r="E260" s="560">
        <f t="shared" si="11"/>
        <v>-4.1836756281554699E-10</v>
      </c>
    </row>
    <row r="261" spans="2:5" x14ac:dyDescent="0.2">
      <c r="B261" s="535">
        <v>246</v>
      </c>
      <c r="C261" s="560">
        <f t="shared" si="9"/>
        <v>0</v>
      </c>
      <c r="D261" s="536">
        <f t="shared" si="10"/>
        <v>0</v>
      </c>
      <c r="E261" s="560">
        <f t="shared" si="11"/>
        <v>-4.1836756281554699E-10</v>
      </c>
    </row>
    <row r="262" spans="2:5" x14ac:dyDescent="0.2">
      <c r="B262" s="535">
        <v>247</v>
      </c>
      <c r="C262" s="560">
        <f t="shared" si="9"/>
        <v>0</v>
      </c>
      <c r="D262" s="536">
        <f t="shared" si="10"/>
        <v>0</v>
      </c>
      <c r="E262" s="560">
        <f t="shared" si="11"/>
        <v>-4.1836756281554699E-10</v>
      </c>
    </row>
    <row r="263" spans="2:5" x14ac:dyDescent="0.2">
      <c r="B263" s="535">
        <v>248</v>
      </c>
      <c r="C263" s="560">
        <f t="shared" si="9"/>
        <v>0</v>
      </c>
      <c r="D263" s="536">
        <f t="shared" si="10"/>
        <v>0</v>
      </c>
      <c r="E263" s="560">
        <f t="shared" si="11"/>
        <v>-4.1836756281554699E-10</v>
      </c>
    </row>
    <row r="264" spans="2:5" x14ac:dyDescent="0.2">
      <c r="B264" s="535">
        <v>249</v>
      </c>
      <c r="C264" s="560">
        <f t="shared" si="9"/>
        <v>0</v>
      </c>
      <c r="D264" s="536">
        <f t="shared" si="10"/>
        <v>0</v>
      </c>
      <c r="E264" s="560">
        <f t="shared" si="11"/>
        <v>-4.1836756281554699E-10</v>
      </c>
    </row>
    <row r="265" spans="2:5" x14ac:dyDescent="0.2">
      <c r="B265" s="535">
        <v>250</v>
      </c>
      <c r="C265" s="560">
        <f t="shared" si="9"/>
        <v>0</v>
      </c>
      <c r="D265" s="536">
        <f t="shared" si="10"/>
        <v>0</v>
      </c>
      <c r="E265" s="560">
        <f t="shared" si="11"/>
        <v>-4.1836756281554699E-10</v>
      </c>
    </row>
    <row r="266" spans="2:5" x14ac:dyDescent="0.2">
      <c r="B266" s="535">
        <v>251</v>
      </c>
      <c r="C266" s="560">
        <f t="shared" si="9"/>
        <v>0</v>
      </c>
      <c r="D266" s="536">
        <f t="shared" si="10"/>
        <v>0</v>
      </c>
      <c r="E266" s="560">
        <f t="shared" si="11"/>
        <v>-4.1836756281554699E-10</v>
      </c>
    </row>
    <row r="267" spans="2:5" x14ac:dyDescent="0.2">
      <c r="B267" s="535">
        <v>252</v>
      </c>
      <c r="C267" s="560">
        <f t="shared" si="9"/>
        <v>0</v>
      </c>
      <c r="D267" s="536">
        <f t="shared" si="10"/>
        <v>0</v>
      </c>
      <c r="E267" s="560">
        <f t="shared" si="11"/>
        <v>-4.1836756281554699E-10</v>
      </c>
    </row>
    <row r="268" spans="2:5" x14ac:dyDescent="0.2">
      <c r="B268" s="535">
        <v>253</v>
      </c>
      <c r="C268" s="560">
        <f t="shared" si="9"/>
        <v>0</v>
      </c>
      <c r="D268" s="536">
        <f t="shared" si="10"/>
        <v>0</v>
      </c>
      <c r="E268" s="560">
        <f t="shared" si="11"/>
        <v>-4.1836756281554699E-10</v>
      </c>
    </row>
    <row r="269" spans="2:5" x14ac:dyDescent="0.2">
      <c r="B269" s="535">
        <v>254</v>
      </c>
      <c r="C269" s="560">
        <f t="shared" si="9"/>
        <v>0</v>
      </c>
      <c r="D269" s="536">
        <f t="shared" si="10"/>
        <v>0</v>
      </c>
      <c r="E269" s="560">
        <f t="shared" si="11"/>
        <v>-4.1836756281554699E-10</v>
      </c>
    </row>
    <row r="270" spans="2:5" x14ac:dyDescent="0.2">
      <c r="B270" s="535">
        <v>255</v>
      </c>
      <c r="C270" s="560">
        <f t="shared" si="9"/>
        <v>0</v>
      </c>
      <c r="D270" s="536">
        <f t="shared" si="10"/>
        <v>0</v>
      </c>
      <c r="E270" s="560">
        <f t="shared" si="11"/>
        <v>-4.1836756281554699E-10</v>
      </c>
    </row>
    <row r="271" spans="2:5" x14ac:dyDescent="0.2">
      <c r="B271" s="535">
        <v>256</v>
      </c>
      <c r="C271" s="560">
        <f t="shared" si="9"/>
        <v>0</v>
      </c>
      <c r="D271" s="536">
        <f t="shared" si="10"/>
        <v>0</v>
      </c>
      <c r="E271" s="560">
        <f t="shared" si="11"/>
        <v>-4.1836756281554699E-10</v>
      </c>
    </row>
    <row r="272" spans="2:5" x14ac:dyDescent="0.2">
      <c r="B272" s="535">
        <v>257</v>
      </c>
      <c r="C272" s="560">
        <f t="shared" si="9"/>
        <v>0</v>
      </c>
      <c r="D272" s="536">
        <f t="shared" si="10"/>
        <v>0</v>
      </c>
      <c r="E272" s="560">
        <f t="shared" si="11"/>
        <v>-4.1836756281554699E-10</v>
      </c>
    </row>
    <row r="273" spans="2:5" x14ac:dyDescent="0.2">
      <c r="B273" s="535">
        <v>258</v>
      </c>
      <c r="C273" s="560">
        <f t="shared" si="9"/>
        <v>0</v>
      </c>
      <c r="D273" s="536">
        <f t="shared" si="10"/>
        <v>0</v>
      </c>
      <c r="E273" s="560">
        <f t="shared" si="11"/>
        <v>-4.1836756281554699E-10</v>
      </c>
    </row>
    <row r="274" spans="2:5" x14ac:dyDescent="0.2">
      <c r="B274" s="535">
        <v>259</v>
      </c>
      <c r="C274" s="560">
        <f t="shared" ref="C274:C337" si="12">IF(B274&gt;$C$9,,E273*$C$8/12)</f>
        <v>0</v>
      </c>
      <c r="D274" s="536">
        <f t="shared" ref="D274:D337" si="13">IF(B274&gt;$C$9,,$C$10+C274)</f>
        <v>0</v>
      </c>
      <c r="E274" s="560">
        <f t="shared" ref="E274:E337" si="14">E273+D274</f>
        <v>-4.1836756281554699E-10</v>
      </c>
    </row>
    <row r="275" spans="2:5" x14ac:dyDescent="0.2">
      <c r="B275" s="535">
        <v>260</v>
      </c>
      <c r="C275" s="560">
        <f t="shared" si="12"/>
        <v>0</v>
      </c>
      <c r="D275" s="536">
        <f t="shared" si="13"/>
        <v>0</v>
      </c>
      <c r="E275" s="560">
        <f t="shared" si="14"/>
        <v>-4.1836756281554699E-10</v>
      </c>
    </row>
    <row r="276" spans="2:5" x14ac:dyDescent="0.2">
      <c r="B276" s="535">
        <v>261</v>
      </c>
      <c r="C276" s="560">
        <f t="shared" si="12"/>
        <v>0</v>
      </c>
      <c r="D276" s="536">
        <f t="shared" si="13"/>
        <v>0</v>
      </c>
      <c r="E276" s="560">
        <f t="shared" si="14"/>
        <v>-4.1836756281554699E-10</v>
      </c>
    </row>
    <row r="277" spans="2:5" x14ac:dyDescent="0.2">
      <c r="B277" s="535">
        <v>262</v>
      </c>
      <c r="C277" s="560">
        <f t="shared" si="12"/>
        <v>0</v>
      </c>
      <c r="D277" s="536">
        <f t="shared" si="13"/>
        <v>0</v>
      </c>
      <c r="E277" s="560">
        <f t="shared" si="14"/>
        <v>-4.1836756281554699E-10</v>
      </c>
    </row>
    <row r="278" spans="2:5" x14ac:dyDescent="0.2">
      <c r="B278" s="535">
        <v>263</v>
      </c>
      <c r="C278" s="560">
        <f t="shared" si="12"/>
        <v>0</v>
      </c>
      <c r="D278" s="536">
        <f t="shared" si="13"/>
        <v>0</v>
      </c>
      <c r="E278" s="560">
        <f t="shared" si="14"/>
        <v>-4.1836756281554699E-10</v>
      </c>
    </row>
    <row r="279" spans="2:5" x14ac:dyDescent="0.2">
      <c r="B279" s="535">
        <v>264</v>
      </c>
      <c r="C279" s="560">
        <f t="shared" si="12"/>
        <v>0</v>
      </c>
      <c r="D279" s="536">
        <f t="shared" si="13"/>
        <v>0</v>
      </c>
      <c r="E279" s="560">
        <f t="shared" si="14"/>
        <v>-4.1836756281554699E-10</v>
      </c>
    </row>
    <row r="280" spans="2:5" x14ac:dyDescent="0.2">
      <c r="B280" s="535">
        <v>265</v>
      </c>
      <c r="C280" s="560">
        <f t="shared" si="12"/>
        <v>0</v>
      </c>
      <c r="D280" s="536">
        <f t="shared" si="13"/>
        <v>0</v>
      </c>
      <c r="E280" s="560">
        <f t="shared" si="14"/>
        <v>-4.1836756281554699E-10</v>
      </c>
    </row>
    <row r="281" spans="2:5" x14ac:dyDescent="0.2">
      <c r="B281" s="535">
        <v>266</v>
      </c>
      <c r="C281" s="560">
        <f t="shared" si="12"/>
        <v>0</v>
      </c>
      <c r="D281" s="536">
        <f t="shared" si="13"/>
        <v>0</v>
      </c>
      <c r="E281" s="560">
        <f t="shared" si="14"/>
        <v>-4.1836756281554699E-10</v>
      </c>
    </row>
    <row r="282" spans="2:5" x14ac:dyDescent="0.2">
      <c r="B282" s="535">
        <v>267</v>
      </c>
      <c r="C282" s="560">
        <f t="shared" si="12"/>
        <v>0</v>
      </c>
      <c r="D282" s="536">
        <f t="shared" si="13"/>
        <v>0</v>
      </c>
      <c r="E282" s="560">
        <f t="shared" si="14"/>
        <v>-4.1836756281554699E-10</v>
      </c>
    </row>
    <row r="283" spans="2:5" x14ac:dyDescent="0.2">
      <c r="B283" s="535">
        <v>268</v>
      </c>
      <c r="C283" s="560">
        <f t="shared" si="12"/>
        <v>0</v>
      </c>
      <c r="D283" s="536">
        <f t="shared" si="13"/>
        <v>0</v>
      </c>
      <c r="E283" s="560">
        <f t="shared" si="14"/>
        <v>-4.1836756281554699E-10</v>
      </c>
    </row>
    <row r="284" spans="2:5" x14ac:dyDescent="0.2">
      <c r="B284" s="535">
        <v>269</v>
      </c>
      <c r="C284" s="560">
        <f t="shared" si="12"/>
        <v>0</v>
      </c>
      <c r="D284" s="536">
        <f t="shared" si="13"/>
        <v>0</v>
      </c>
      <c r="E284" s="560">
        <f t="shared" si="14"/>
        <v>-4.1836756281554699E-10</v>
      </c>
    </row>
    <row r="285" spans="2:5" x14ac:dyDescent="0.2">
      <c r="B285" s="535">
        <v>270</v>
      </c>
      <c r="C285" s="560">
        <f t="shared" si="12"/>
        <v>0</v>
      </c>
      <c r="D285" s="536">
        <f t="shared" si="13"/>
        <v>0</v>
      </c>
      <c r="E285" s="560">
        <f t="shared" si="14"/>
        <v>-4.1836756281554699E-10</v>
      </c>
    </row>
    <row r="286" spans="2:5" x14ac:dyDescent="0.2">
      <c r="B286" s="535">
        <v>271</v>
      </c>
      <c r="C286" s="560">
        <f t="shared" si="12"/>
        <v>0</v>
      </c>
      <c r="D286" s="536">
        <f t="shared" si="13"/>
        <v>0</v>
      </c>
      <c r="E286" s="560">
        <f t="shared" si="14"/>
        <v>-4.1836756281554699E-10</v>
      </c>
    </row>
    <row r="287" spans="2:5" x14ac:dyDescent="0.2">
      <c r="B287" s="535">
        <v>272</v>
      </c>
      <c r="C287" s="560">
        <f t="shared" si="12"/>
        <v>0</v>
      </c>
      <c r="D287" s="536">
        <f t="shared" si="13"/>
        <v>0</v>
      </c>
      <c r="E287" s="560">
        <f t="shared" si="14"/>
        <v>-4.1836756281554699E-10</v>
      </c>
    </row>
    <row r="288" spans="2:5" x14ac:dyDescent="0.2">
      <c r="B288" s="535">
        <v>273</v>
      </c>
      <c r="C288" s="560">
        <f t="shared" si="12"/>
        <v>0</v>
      </c>
      <c r="D288" s="536">
        <f t="shared" si="13"/>
        <v>0</v>
      </c>
      <c r="E288" s="560">
        <f t="shared" si="14"/>
        <v>-4.1836756281554699E-10</v>
      </c>
    </row>
    <row r="289" spans="2:5" x14ac:dyDescent="0.2">
      <c r="B289" s="535">
        <v>274</v>
      </c>
      <c r="C289" s="560">
        <f t="shared" si="12"/>
        <v>0</v>
      </c>
      <c r="D289" s="536">
        <f t="shared" si="13"/>
        <v>0</v>
      </c>
      <c r="E289" s="560">
        <f t="shared" si="14"/>
        <v>-4.1836756281554699E-10</v>
      </c>
    </row>
    <row r="290" spans="2:5" x14ac:dyDescent="0.2">
      <c r="B290" s="535">
        <v>275</v>
      </c>
      <c r="C290" s="560">
        <f t="shared" si="12"/>
        <v>0</v>
      </c>
      <c r="D290" s="536">
        <f t="shared" si="13"/>
        <v>0</v>
      </c>
      <c r="E290" s="560">
        <f t="shared" si="14"/>
        <v>-4.1836756281554699E-10</v>
      </c>
    </row>
    <row r="291" spans="2:5" x14ac:dyDescent="0.2">
      <c r="B291" s="535">
        <v>276</v>
      </c>
      <c r="C291" s="560">
        <f t="shared" si="12"/>
        <v>0</v>
      </c>
      <c r="D291" s="536">
        <f t="shared" si="13"/>
        <v>0</v>
      </c>
      <c r="E291" s="560">
        <f t="shared" si="14"/>
        <v>-4.1836756281554699E-10</v>
      </c>
    </row>
    <row r="292" spans="2:5" x14ac:dyDescent="0.2">
      <c r="B292" s="535">
        <v>277</v>
      </c>
      <c r="C292" s="560">
        <f t="shared" si="12"/>
        <v>0</v>
      </c>
      <c r="D292" s="536">
        <f t="shared" si="13"/>
        <v>0</v>
      </c>
      <c r="E292" s="560">
        <f t="shared" si="14"/>
        <v>-4.1836756281554699E-10</v>
      </c>
    </row>
    <row r="293" spans="2:5" x14ac:dyDescent="0.2">
      <c r="B293" s="535">
        <v>278</v>
      </c>
      <c r="C293" s="560">
        <f t="shared" si="12"/>
        <v>0</v>
      </c>
      <c r="D293" s="536">
        <f t="shared" si="13"/>
        <v>0</v>
      </c>
      <c r="E293" s="560">
        <f t="shared" si="14"/>
        <v>-4.1836756281554699E-10</v>
      </c>
    </row>
    <row r="294" spans="2:5" x14ac:dyDescent="0.2">
      <c r="B294" s="535">
        <v>279</v>
      </c>
      <c r="C294" s="560">
        <f t="shared" si="12"/>
        <v>0</v>
      </c>
      <c r="D294" s="536">
        <f t="shared" si="13"/>
        <v>0</v>
      </c>
      <c r="E294" s="560">
        <f t="shared" si="14"/>
        <v>-4.1836756281554699E-10</v>
      </c>
    </row>
    <row r="295" spans="2:5" x14ac:dyDescent="0.2">
      <c r="B295" s="535">
        <v>280</v>
      </c>
      <c r="C295" s="560">
        <f t="shared" si="12"/>
        <v>0</v>
      </c>
      <c r="D295" s="536">
        <f t="shared" si="13"/>
        <v>0</v>
      </c>
      <c r="E295" s="560">
        <f t="shared" si="14"/>
        <v>-4.1836756281554699E-10</v>
      </c>
    </row>
    <row r="296" spans="2:5" x14ac:dyDescent="0.2">
      <c r="B296" s="535">
        <v>281</v>
      </c>
      <c r="C296" s="560">
        <f t="shared" si="12"/>
        <v>0</v>
      </c>
      <c r="D296" s="536">
        <f t="shared" si="13"/>
        <v>0</v>
      </c>
      <c r="E296" s="560">
        <f t="shared" si="14"/>
        <v>-4.1836756281554699E-10</v>
      </c>
    </row>
    <row r="297" spans="2:5" x14ac:dyDescent="0.2">
      <c r="B297" s="535">
        <v>282</v>
      </c>
      <c r="C297" s="560">
        <f t="shared" si="12"/>
        <v>0</v>
      </c>
      <c r="D297" s="536">
        <f t="shared" si="13"/>
        <v>0</v>
      </c>
      <c r="E297" s="560">
        <f t="shared" si="14"/>
        <v>-4.1836756281554699E-10</v>
      </c>
    </row>
    <row r="298" spans="2:5" x14ac:dyDescent="0.2">
      <c r="B298" s="535">
        <v>283</v>
      </c>
      <c r="C298" s="560">
        <f t="shared" si="12"/>
        <v>0</v>
      </c>
      <c r="D298" s="536">
        <f t="shared" si="13"/>
        <v>0</v>
      </c>
      <c r="E298" s="560">
        <f t="shared" si="14"/>
        <v>-4.1836756281554699E-10</v>
      </c>
    </row>
    <row r="299" spans="2:5" x14ac:dyDescent="0.2">
      <c r="B299" s="535">
        <v>284</v>
      </c>
      <c r="C299" s="560">
        <f t="shared" si="12"/>
        <v>0</v>
      </c>
      <c r="D299" s="536">
        <f t="shared" si="13"/>
        <v>0</v>
      </c>
      <c r="E299" s="560">
        <f t="shared" si="14"/>
        <v>-4.1836756281554699E-10</v>
      </c>
    </row>
    <row r="300" spans="2:5" x14ac:dyDescent="0.2">
      <c r="B300" s="535">
        <v>285</v>
      </c>
      <c r="C300" s="560">
        <f t="shared" si="12"/>
        <v>0</v>
      </c>
      <c r="D300" s="536">
        <f t="shared" si="13"/>
        <v>0</v>
      </c>
      <c r="E300" s="560">
        <f t="shared" si="14"/>
        <v>-4.1836756281554699E-10</v>
      </c>
    </row>
    <row r="301" spans="2:5" x14ac:dyDescent="0.2">
      <c r="B301" s="535">
        <v>286</v>
      </c>
      <c r="C301" s="560">
        <f t="shared" si="12"/>
        <v>0</v>
      </c>
      <c r="D301" s="536">
        <f t="shared" si="13"/>
        <v>0</v>
      </c>
      <c r="E301" s="560">
        <f t="shared" si="14"/>
        <v>-4.1836756281554699E-10</v>
      </c>
    </row>
    <row r="302" spans="2:5" x14ac:dyDescent="0.2">
      <c r="B302" s="535">
        <v>287</v>
      </c>
      <c r="C302" s="560">
        <f t="shared" si="12"/>
        <v>0</v>
      </c>
      <c r="D302" s="536">
        <f t="shared" si="13"/>
        <v>0</v>
      </c>
      <c r="E302" s="560">
        <f t="shared" si="14"/>
        <v>-4.1836756281554699E-10</v>
      </c>
    </row>
    <row r="303" spans="2:5" x14ac:dyDescent="0.2">
      <c r="B303" s="535">
        <v>288</v>
      </c>
      <c r="C303" s="560">
        <f t="shared" si="12"/>
        <v>0</v>
      </c>
      <c r="D303" s="536">
        <f t="shared" si="13"/>
        <v>0</v>
      </c>
      <c r="E303" s="560">
        <f t="shared" si="14"/>
        <v>-4.1836756281554699E-10</v>
      </c>
    </row>
    <row r="304" spans="2:5" x14ac:dyDescent="0.2">
      <c r="B304" s="535">
        <v>289</v>
      </c>
      <c r="C304" s="560">
        <f t="shared" si="12"/>
        <v>0</v>
      </c>
      <c r="D304" s="536">
        <f t="shared" si="13"/>
        <v>0</v>
      </c>
      <c r="E304" s="560">
        <f t="shared" si="14"/>
        <v>-4.1836756281554699E-10</v>
      </c>
    </row>
    <row r="305" spans="2:5" x14ac:dyDescent="0.2">
      <c r="B305" s="535">
        <v>290</v>
      </c>
      <c r="C305" s="560">
        <f t="shared" si="12"/>
        <v>0</v>
      </c>
      <c r="D305" s="536">
        <f t="shared" si="13"/>
        <v>0</v>
      </c>
      <c r="E305" s="560">
        <f t="shared" si="14"/>
        <v>-4.1836756281554699E-10</v>
      </c>
    </row>
    <row r="306" spans="2:5" x14ac:dyDescent="0.2">
      <c r="B306" s="535">
        <v>291</v>
      </c>
      <c r="C306" s="560">
        <f t="shared" si="12"/>
        <v>0</v>
      </c>
      <c r="D306" s="536">
        <f t="shared" si="13"/>
        <v>0</v>
      </c>
      <c r="E306" s="560">
        <f t="shared" si="14"/>
        <v>-4.1836756281554699E-10</v>
      </c>
    </row>
    <row r="307" spans="2:5" x14ac:dyDescent="0.2">
      <c r="B307" s="535">
        <v>292</v>
      </c>
      <c r="C307" s="560">
        <f t="shared" si="12"/>
        <v>0</v>
      </c>
      <c r="D307" s="536">
        <f t="shared" si="13"/>
        <v>0</v>
      </c>
      <c r="E307" s="560">
        <f t="shared" si="14"/>
        <v>-4.1836756281554699E-10</v>
      </c>
    </row>
    <row r="308" spans="2:5" x14ac:dyDescent="0.2">
      <c r="B308" s="535">
        <v>293</v>
      </c>
      <c r="C308" s="560">
        <f t="shared" si="12"/>
        <v>0</v>
      </c>
      <c r="D308" s="536">
        <f t="shared" si="13"/>
        <v>0</v>
      </c>
      <c r="E308" s="560">
        <f t="shared" si="14"/>
        <v>-4.1836756281554699E-10</v>
      </c>
    </row>
    <row r="309" spans="2:5" x14ac:dyDescent="0.2">
      <c r="B309" s="535">
        <v>294</v>
      </c>
      <c r="C309" s="560">
        <f t="shared" si="12"/>
        <v>0</v>
      </c>
      <c r="D309" s="536">
        <f t="shared" si="13"/>
        <v>0</v>
      </c>
      <c r="E309" s="560">
        <f t="shared" si="14"/>
        <v>-4.1836756281554699E-10</v>
      </c>
    </row>
    <row r="310" spans="2:5" x14ac:dyDescent="0.2">
      <c r="B310" s="535">
        <v>295</v>
      </c>
      <c r="C310" s="560">
        <f t="shared" si="12"/>
        <v>0</v>
      </c>
      <c r="D310" s="536">
        <f t="shared" si="13"/>
        <v>0</v>
      </c>
      <c r="E310" s="560">
        <f t="shared" si="14"/>
        <v>-4.1836756281554699E-10</v>
      </c>
    </row>
    <row r="311" spans="2:5" x14ac:dyDescent="0.2">
      <c r="B311" s="535">
        <v>296</v>
      </c>
      <c r="C311" s="560">
        <f t="shared" si="12"/>
        <v>0</v>
      </c>
      <c r="D311" s="536">
        <f t="shared" si="13"/>
        <v>0</v>
      </c>
      <c r="E311" s="560">
        <f t="shared" si="14"/>
        <v>-4.1836756281554699E-10</v>
      </c>
    </row>
    <row r="312" spans="2:5" x14ac:dyDescent="0.2">
      <c r="B312" s="535">
        <v>297</v>
      </c>
      <c r="C312" s="560">
        <f t="shared" si="12"/>
        <v>0</v>
      </c>
      <c r="D312" s="536">
        <f t="shared" si="13"/>
        <v>0</v>
      </c>
      <c r="E312" s="560">
        <f t="shared" si="14"/>
        <v>-4.1836756281554699E-10</v>
      </c>
    </row>
    <row r="313" spans="2:5" x14ac:dyDescent="0.2">
      <c r="B313" s="535">
        <v>298</v>
      </c>
      <c r="C313" s="560">
        <f t="shared" si="12"/>
        <v>0</v>
      </c>
      <c r="D313" s="536">
        <f t="shared" si="13"/>
        <v>0</v>
      </c>
      <c r="E313" s="560">
        <f t="shared" si="14"/>
        <v>-4.1836756281554699E-10</v>
      </c>
    </row>
    <row r="314" spans="2:5" x14ac:dyDescent="0.2">
      <c r="B314" s="535">
        <v>299</v>
      </c>
      <c r="C314" s="560">
        <f t="shared" si="12"/>
        <v>0</v>
      </c>
      <c r="D314" s="536">
        <f t="shared" si="13"/>
        <v>0</v>
      </c>
      <c r="E314" s="560">
        <f t="shared" si="14"/>
        <v>-4.1836756281554699E-10</v>
      </c>
    </row>
    <row r="315" spans="2:5" x14ac:dyDescent="0.2">
      <c r="B315" s="535">
        <v>300</v>
      </c>
      <c r="C315" s="560">
        <f t="shared" si="12"/>
        <v>0</v>
      </c>
      <c r="D315" s="536">
        <f t="shared" si="13"/>
        <v>0</v>
      </c>
      <c r="E315" s="560">
        <f t="shared" si="14"/>
        <v>-4.1836756281554699E-10</v>
      </c>
    </row>
    <row r="316" spans="2:5" x14ac:dyDescent="0.2">
      <c r="B316" s="535">
        <v>301</v>
      </c>
      <c r="C316" s="560">
        <f t="shared" si="12"/>
        <v>0</v>
      </c>
      <c r="D316" s="536">
        <f t="shared" si="13"/>
        <v>0</v>
      </c>
      <c r="E316" s="560">
        <f t="shared" si="14"/>
        <v>-4.1836756281554699E-10</v>
      </c>
    </row>
    <row r="317" spans="2:5" x14ac:dyDescent="0.2">
      <c r="B317" s="535">
        <v>302</v>
      </c>
      <c r="C317" s="560">
        <f t="shared" si="12"/>
        <v>0</v>
      </c>
      <c r="D317" s="536">
        <f t="shared" si="13"/>
        <v>0</v>
      </c>
      <c r="E317" s="560">
        <f t="shared" si="14"/>
        <v>-4.1836756281554699E-10</v>
      </c>
    </row>
    <row r="318" spans="2:5" x14ac:dyDescent="0.2">
      <c r="B318" s="535">
        <v>303</v>
      </c>
      <c r="C318" s="560">
        <f t="shared" si="12"/>
        <v>0</v>
      </c>
      <c r="D318" s="536">
        <f t="shared" si="13"/>
        <v>0</v>
      </c>
      <c r="E318" s="560">
        <f t="shared" si="14"/>
        <v>-4.1836756281554699E-10</v>
      </c>
    </row>
    <row r="319" spans="2:5" x14ac:dyDescent="0.2">
      <c r="B319" s="535">
        <v>304</v>
      </c>
      <c r="C319" s="560">
        <f t="shared" si="12"/>
        <v>0</v>
      </c>
      <c r="D319" s="536">
        <f t="shared" si="13"/>
        <v>0</v>
      </c>
      <c r="E319" s="560">
        <f t="shared" si="14"/>
        <v>-4.1836756281554699E-10</v>
      </c>
    </row>
    <row r="320" spans="2:5" x14ac:dyDescent="0.2">
      <c r="B320" s="535">
        <v>305</v>
      </c>
      <c r="C320" s="560">
        <f t="shared" si="12"/>
        <v>0</v>
      </c>
      <c r="D320" s="536">
        <f t="shared" si="13"/>
        <v>0</v>
      </c>
      <c r="E320" s="560">
        <f t="shared" si="14"/>
        <v>-4.1836756281554699E-10</v>
      </c>
    </row>
    <row r="321" spans="2:5" x14ac:dyDescent="0.2">
      <c r="B321" s="535">
        <v>306</v>
      </c>
      <c r="C321" s="560">
        <f t="shared" si="12"/>
        <v>0</v>
      </c>
      <c r="D321" s="536">
        <f t="shared" si="13"/>
        <v>0</v>
      </c>
      <c r="E321" s="560">
        <f t="shared" si="14"/>
        <v>-4.1836756281554699E-10</v>
      </c>
    </row>
    <row r="322" spans="2:5" x14ac:dyDescent="0.2">
      <c r="B322" s="535">
        <v>307</v>
      </c>
      <c r="C322" s="560">
        <f t="shared" si="12"/>
        <v>0</v>
      </c>
      <c r="D322" s="536">
        <f t="shared" si="13"/>
        <v>0</v>
      </c>
      <c r="E322" s="560">
        <f t="shared" si="14"/>
        <v>-4.1836756281554699E-10</v>
      </c>
    </row>
    <row r="323" spans="2:5" x14ac:dyDescent="0.2">
      <c r="B323" s="535">
        <v>308</v>
      </c>
      <c r="C323" s="560">
        <f t="shared" si="12"/>
        <v>0</v>
      </c>
      <c r="D323" s="536">
        <f t="shared" si="13"/>
        <v>0</v>
      </c>
      <c r="E323" s="560">
        <f t="shared" si="14"/>
        <v>-4.1836756281554699E-10</v>
      </c>
    </row>
    <row r="324" spans="2:5" x14ac:dyDescent="0.2">
      <c r="B324" s="535">
        <v>309</v>
      </c>
      <c r="C324" s="560">
        <f t="shared" si="12"/>
        <v>0</v>
      </c>
      <c r="D324" s="536">
        <f t="shared" si="13"/>
        <v>0</v>
      </c>
      <c r="E324" s="560">
        <f t="shared" si="14"/>
        <v>-4.1836756281554699E-10</v>
      </c>
    </row>
    <row r="325" spans="2:5" x14ac:dyDescent="0.2">
      <c r="B325" s="535">
        <v>310</v>
      </c>
      <c r="C325" s="560">
        <f t="shared" si="12"/>
        <v>0</v>
      </c>
      <c r="D325" s="536">
        <f t="shared" si="13"/>
        <v>0</v>
      </c>
      <c r="E325" s="560">
        <f t="shared" si="14"/>
        <v>-4.1836756281554699E-10</v>
      </c>
    </row>
    <row r="326" spans="2:5" x14ac:dyDescent="0.2">
      <c r="B326" s="535">
        <v>311</v>
      </c>
      <c r="C326" s="560">
        <f t="shared" si="12"/>
        <v>0</v>
      </c>
      <c r="D326" s="536">
        <f t="shared" si="13"/>
        <v>0</v>
      </c>
      <c r="E326" s="560">
        <f t="shared" si="14"/>
        <v>-4.1836756281554699E-10</v>
      </c>
    </row>
    <row r="327" spans="2:5" x14ac:dyDescent="0.2">
      <c r="B327" s="535">
        <v>312</v>
      </c>
      <c r="C327" s="560">
        <f t="shared" si="12"/>
        <v>0</v>
      </c>
      <c r="D327" s="536">
        <f t="shared" si="13"/>
        <v>0</v>
      </c>
      <c r="E327" s="560">
        <f t="shared" si="14"/>
        <v>-4.1836756281554699E-10</v>
      </c>
    </row>
    <row r="328" spans="2:5" x14ac:dyDescent="0.2">
      <c r="B328" s="535">
        <v>313</v>
      </c>
      <c r="C328" s="560">
        <f t="shared" si="12"/>
        <v>0</v>
      </c>
      <c r="D328" s="536">
        <f t="shared" si="13"/>
        <v>0</v>
      </c>
      <c r="E328" s="560">
        <f t="shared" si="14"/>
        <v>-4.1836756281554699E-10</v>
      </c>
    </row>
    <row r="329" spans="2:5" x14ac:dyDescent="0.2">
      <c r="B329" s="535">
        <v>314</v>
      </c>
      <c r="C329" s="560">
        <f t="shared" si="12"/>
        <v>0</v>
      </c>
      <c r="D329" s="536">
        <f t="shared" si="13"/>
        <v>0</v>
      </c>
      <c r="E329" s="560">
        <f t="shared" si="14"/>
        <v>-4.1836756281554699E-10</v>
      </c>
    </row>
    <row r="330" spans="2:5" x14ac:dyDescent="0.2">
      <c r="B330" s="535">
        <v>315</v>
      </c>
      <c r="C330" s="560">
        <f t="shared" si="12"/>
        <v>0</v>
      </c>
      <c r="D330" s="536">
        <f t="shared" si="13"/>
        <v>0</v>
      </c>
      <c r="E330" s="560">
        <f t="shared" si="14"/>
        <v>-4.1836756281554699E-10</v>
      </c>
    </row>
    <row r="331" spans="2:5" x14ac:dyDescent="0.2">
      <c r="B331" s="535">
        <v>316</v>
      </c>
      <c r="C331" s="560">
        <f t="shared" si="12"/>
        <v>0</v>
      </c>
      <c r="D331" s="536">
        <f t="shared" si="13"/>
        <v>0</v>
      </c>
      <c r="E331" s="560">
        <f t="shared" si="14"/>
        <v>-4.1836756281554699E-10</v>
      </c>
    </row>
    <row r="332" spans="2:5" x14ac:dyDescent="0.2">
      <c r="B332" s="535">
        <v>317</v>
      </c>
      <c r="C332" s="560">
        <f t="shared" si="12"/>
        <v>0</v>
      </c>
      <c r="D332" s="536">
        <f t="shared" si="13"/>
        <v>0</v>
      </c>
      <c r="E332" s="560">
        <f t="shared" si="14"/>
        <v>-4.1836756281554699E-10</v>
      </c>
    </row>
    <row r="333" spans="2:5" x14ac:dyDescent="0.2">
      <c r="B333" s="535">
        <v>318</v>
      </c>
      <c r="C333" s="560">
        <f t="shared" si="12"/>
        <v>0</v>
      </c>
      <c r="D333" s="536">
        <f t="shared" si="13"/>
        <v>0</v>
      </c>
      <c r="E333" s="560">
        <f t="shared" si="14"/>
        <v>-4.1836756281554699E-10</v>
      </c>
    </row>
    <row r="334" spans="2:5" x14ac:dyDescent="0.2">
      <c r="B334" s="535">
        <v>319</v>
      </c>
      <c r="C334" s="560">
        <f t="shared" si="12"/>
        <v>0</v>
      </c>
      <c r="D334" s="536">
        <f t="shared" si="13"/>
        <v>0</v>
      </c>
      <c r="E334" s="560">
        <f t="shared" si="14"/>
        <v>-4.1836756281554699E-10</v>
      </c>
    </row>
    <row r="335" spans="2:5" x14ac:dyDescent="0.2">
      <c r="B335" s="535">
        <v>320</v>
      </c>
      <c r="C335" s="560">
        <f t="shared" si="12"/>
        <v>0</v>
      </c>
      <c r="D335" s="536">
        <f t="shared" si="13"/>
        <v>0</v>
      </c>
      <c r="E335" s="560">
        <f t="shared" si="14"/>
        <v>-4.1836756281554699E-10</v>
      </c>
    </row>
    <row r="336" spans="2:5" x14ac:dyDescent="0.2">
      <c r="B336" s="535">
        <v>321</v>
      </c>
      <c r="C336" s="560">
        <f t="shared" si="12"/>
        <v>0</v>
      </c>
      <c r="D336" s="536">
        <f t="shared" si="13"/>
        <v>0</v>
      </c>
      <c r="E336" s="560">
        <f t="shared" si="14"/>
        <v>-4.1836756281554699E-10</v>
      </c>
    </row>
    <row r="337" spans="2:5" x14ac:dyDescent="0.2">
      <c r="B337" s="535">
        <v>322</v>
      </c>
      <c r="C337" s="560">
        <f t="shared" si="12"/>
        <v>0</v>
      </c>
      <c r="D337" s="536">
        <f t="shared" si="13"/>
        <v>0</v>
      </c>
      <c r="E337" s="560">
        <f t="shared" si="14"/>
        <v>-4.1836756281554699E-10</v>
      </c>
    </row>
    <row r="338" spans="2:5" x14ac:dyDescent="0.2">
      <c r="B338" s="535">
        <v>323</v>
      </c>
      <c r="C338" s="560">
        <f t="shared" ref="C338:C401" si="15">IF(B338&gt;$C$9,,E337*$C$8/12)</f>
        <v>0</v>
      </c>
      <c r="D338" s="536">
        <f t="shared" ref="D338:D401" si="16">IF(B338&gt;$C$9,,$C$10+C338)</f>
        <v>0</v>
      </c>
      <c r="E338" s="560">
        <f t="shared" ref="E338:E401" si="17">E337+D338</f>
        <v>-4.1836756281554699E-10</v>
      </c>
    </row>
    <row r="339" spans="2:5" x14ac:dyDescent="0.2">
      <c r="B339" s="535">
        <v>324</v>
      </c>
      <c r="C339" s="560">
        <f t="shared" si="15"/>
        <v>0</v>
      </c>
      <c r="D339" s="536">
        <f t="shared" si="16"/>
        <v>0</v>
      </c>
      <c r="E339" s="560">
        <f t="shared" si="17"/>
        <v>-4.1836756281554699E-10</v>
      </c>
    </row>
    <row r="340" spans="2:5" x14ac:dyDescent="0.2">
      <c r="B340" s="535">
        <v>325</v>
      </c>
      <c r="C340" s="560">
        <f t="shared" si="15"/>
        <v>0</v>
      </c>
      <c r="D340" s="536">
        <f t="shared" si="16"/>
        <v>0</v>
      </c>
      <c r="E340" s="560">
        <f t="shared" si="17"/>
        <v>-4.1836756281554699E-10</v>
      </c>
    </row>
    <row r="341" spans="2:5" x14ac:dyDescent="0.2">
      <c r="B341" s="535">
        <v>326</v>
      </c>
      <c r="C341" s="560">
        <f t="shared" si="15"/>
        <v>0</v>
      </c>
      <c r="D341" s="536">
        <f t="shared" si="16"/>
        <v>0</v>
      </c>
      <c r="E341" s="560">
        <f t="shared" si="17"/>
        <v>-4.1836756281554699E-10</v>
      </c>
    </row>
    <row r="342" spans="2:5" x14ac:dyDescent="0.2">
      <c r="B342" s="535">
        <v>327</v>
      </c>
      <c r="C342" s="560">
        <f t="shared" si="15"/>
        <v>0</v>
      </c>
      <c r="D342" s="536">
        <f t="shared" si="16"/>
        <v>0</v>
      </c>
      <c r="E342" s="560">
        <f t="shared" si="17"/>
        <v>-4.1836756281554699E-10</v>
      </c>
    </row>
    <row r="343" spans="2:5" x14ac:dyDescent="0.2">
      <c r="B343" s="535">
        <v>328</v>
      </c>
      <c r="C343" s="560">
        <f t="shared" si="15"/>
        <v>0</v>
      </c>
      <c r="D343" s="536">
        <f t="shared" si="16"/>
        <v>0</v>
      </c>
      <c r="E343" s="560">
        <f t="shared" si="17"/>
        <v>-4.1836756281554699E-10</v>
      </c>
    </row>
    <row r="344" spans="2:5" x14ac:dyDescent="0.2">
      <c r="B344" s="535">
        <v>329</v>
      </c>
      <c r="C344" s="560">
        <f t="shared" si="15"/>
        <v>0</v>
      </c>
      <c r="D344" s="536">
        <f t="shared" si="16"/>
        <v>0</v>
      </c>
      <c r="E344" s="560">
        <f t="shared" si="17"/>
        <v>-4.1836756281554699E-10</v>
      </c>
    </row>
    <row r="345" spans="2:5" x14ac:dyDescent="0.2">
      <c r="B345" s="535">
        <v>330</v>
      </c>
      <c r="C345" s="560">
        <f t="shared" si="15"/>
        <v>0</v>
      </c>
      <c r="D345" s="536">
        <f t="shared" si="16"/>
        <v>0</v>
      </c>
      <c r="E345" s="560">
        <f t="shared" si="17"/>
        <v>-4.1836756281554699E-10</v>
      </c>
    </row>
    <row r="346" spans="2:5" x14ac:dyDescent="0.2">
      <c r="B346" s="535">
        <v>331</v>
      </c>
      <c r="C346" s="560">
        <f t="shared" si="15"/>
        <v>0</v>
      </c>
      <c r="D346" s="536">
        <f t="shared" si="16"/>
        <v>0</v>
      </c>
      <c r="E346" s="560">
        <f t="shared" si="17"/>
        <v>-4.1836756281554699E-10</v>
      </c>
    </row>
    <row r="347" spans="2:5" x14ac:dyDescent="0.2">
      <c r="B347" s="535">
        <v>332</v>
      </c>
      <c r="C347" s="560">
        <f t="shared" si="15"/>
        <v>0</v>
      </c>
      <c r="D347" s="536">
        <f t="shared" si="16"/>
        <v>0</v>
      </c>
      <c r="E347" s="560">
        <f t="shared" si="17"/>
        <v>-4.1836756281554699E-10</v>
      </c>
    </row>
    <row r="348" spans="2:5" x14ac:dyDescent="0.2">
      <c r="B348" s="535">
        <v>333</v>
      </c>
      <c r="C348" s="560">
        <f t="shared" si="15"/>
        <v>0</v>
      </c>
      <c r="D348" s="536">
        <f t="shared" si="16"/>
        <v>0</v>
      </c>
      <c r="E348" s="560">
        <f t="shared" si="17"/>
        <v>-4.1836756281554699E-10</v>
      </c>
    </row>
    <row r="349" spans="2:5" x14ac:dyDescent="0.2">
      <c r="B349" s="535">
        <v>334</v>
      </c>
      <c r="C349" s="560">
        <f t="shared" si="15"/>
        <v>0</v>
      </c>
      <c r="D349" s="536">
        <f t="shared" si="16"/>
        <v>0</v>
      </c>
      <c r="E349" s="560">
        <f t="shared" si="17"/>
        <v>-4.1836756281554699E-10</v>
      </c>
    </row>
    <row r="350" spans="2:5" x14ac:dyDescent="0.2">
      <c r="B350" s="535">
        <v>335</v>
      </c>
      <c r="C350" s="560">
        <f t="shared" si="15"/>
        <v>0</v>
      </c>
      <c r="D350" s="536">
        <f t="shared" si="16"/>
        <v>0</v>
      </c>
      <c r="E350" s="560">
        <f t="shared" si="17"/>
        <v>-4.1836756281554699E-10</v>
      </c>
    </row>
    <row r="351" spans="2:5" x14ac:dyDescent="0.2">
      <c r="B351" s="535">
        <v>336</v>
      </c>
      <c r="C351" s="560">
        <f t="shared" si="15"/>
        <v>0</v>
      </c>
      <c r="D351" s="536">
        <f t="shared" si="16"/>
        <v>0</v>
      </c>
      <c r="E351" s="560">
        <f t="shared" si="17"/>
        <v>-4.1836756281554699E-10</v>
      </c>
    </row>
    <row r="352" spans="2:5" x14ac:dyDescent="0.2">
      <c r="B352" s="535">
        <v>337</v>
      </c>
      <c r="C352" s="560">
        <f t="shared" si="15"/>
        <v>0</v>
      </c>
      <c r="D352" s="536">
        <f t="shared" si="16"/>
        <v>0</v>
      </c>
      <c r="E352" s="560">
        <f t="shared" si="17"/>
        <v>-4.1836756281554699E-10</v>
      </c>
    </row>
    <row r="353" spans="2:5" x14ac:dyDescent="0.2">
      <c r="B353" s="535">
        <v>338</v>
      </c>
      <c r="C353" s="560">
        <f t="shared" si="15"/>
        <v>0</v>
      </c>
      <c r="D353" s="536">
        <f t="shared" si="16"/>
        <v>0</v>
      </c>
      <c r="E353" s="560">
        <f t="shared" si="17"/>
        <v>-4.1836756281554699E-10</v>
      </c>
    </row>
    <row r="354" spans="2:5" x14ac:dyDescent="0.2">
      <c r="B354" s="535">
        <v>339</v>
      </c>
      <c r="C354" s="560">
        <f t="shared" si="15"/>
        <v>0</v>
      </c>
      <c r="D354" s="536">
        <f t="shared" si="16"/>
        <v>0</v>
      </c>
      <c r="E354" s="560">
        <f t="shared" si="17"/>
        <v>-4.1836756281554699E-10</v>
      </c>
    </row>
    <row r="355" spans="2:5" x14ac:dyDescent="0.2">
      <c r="B355" s="535">
        <v>340</v>
      </c>
      <c r="C355" s="560">
        <f t="shared" si="15"/>
        <v>0</v>
      </c>
      <c r="D355" s="536">
        <f t="shared" si="16"/>
        <v>0</v>
      </c>
      <c r="E355" s="560">
        <f t="shared" si="17"/>
        <v>-4.1836756281554699E-10</v>
      </c>
    </row>
    <row r="356" spans="2:5" x14ac:dyDescent="0.2">
      <c r="B356" s="535">
        <v>341</v>
      </c>
      <c r="C356" s="560">
        <f t="shared" si="15"/>
        <v>0</v>
      </c>
      <c r="D356" s="536">
        <f t="shared" si="16"/>
        <v>0</v>
      </c>
      <c r="E356" s="560">
        <f t="shared" si="17"/>
        <v>-4.1836756281554699E-10</v>
      </c>
    </row>
    <row r="357" spans="2:5" x14ac:dyDescent="0.2">
      <c r="B357" s="535">
        <v>342</v>
      </c>
      <c r="C357" s="560">
        <f t="shared" si="15"/>
        <v>0</v>
      </c>
      <c r="D357" s="536">
        <f t="shared" si="16"/>
        <v>0</v>
      </c>
      <c r="E357" s="560">
        <f t="shared" si="17"/>
        <v>-4.1836756281554699E-10</v>
      </c>
    </row>
    <row r="358" spans="2:5" x14ac:dyDescent="0.2">
      <c r="B358" s="535">
        <v>343</v>
      </c>
      <c r="C358" s="560">
        <f t="shared" si="15"/>
        <v>0</v>
      </c>
      <c r="D358" s="536">
        <f t="shared" si="16"/>
        <v>0</v>
      </c>
      <c r="E358" s="560">
        <f t="shared" si="17"/>
        <v>-4.1836756281554699E-10</v>
      </c>
    </row>
    <row r="359" spans="2:5" x14ac:dyDescent="0.2">
      <c r="B359" s="535">
        <v>344</v>
      </c>
      <c r="C359" s="560">
        <f t="shared" si="15"/>
        <v>0</v>
      </c>
      <c r="D359" s="536">
        <f t="shared" si="16"/>
        <v>0</v>
      </c>
      <c r="E359" s="560">
        <f t="shared" si="17"/>
        <v>-4.1836756281554699E-10</v>
      </c>
    </row>
    <row r="360" spans="2:5" x14ac:dyDescent="0.2">
      <c r="B360" s="535">
        <v>345</v>
      </c>
      <c r="C360" s="560">
        <f t="shared" si="15"/>
        <v>0</v>
      </c>
      <c r="D360" s="536">
        <f t="shared" si="16"/>
        <v>0</v>
      </c>
      <c r="E360" s="560">
        <f t="shared" si="17"/>
        <v>-4.1836756281554699E-10</v>
      </c>
    </row>
    <row r="361" spans="2:5" x14ac:dyDescent="0.2">
      <c r="B361" s="535">
        <v>346</v>
      </c>
      <c r="C361" s="560">
        <f t="shared" si="15"/>
        <v>0</v>
      </c>
      <c r="D361" s="536">
        <f t="shared" si="16"/>
        <v>0</v>
      </c>
      <c r="E361" s="560">
        <f t="shared" si="17"/>
        <v>-4.1836756281554699E-10</v>
      </c>
    </row>
    <row r="362" spans="2:5" x14ac:dyDescent="0.2">
      <c r="B362" s="535">
        <v>347</v>
      </c>
      <c r="C362" s="560">
        <f t="shared" si="15"/>
        <v>0</v>
      </c>
      <c r="D362" s="536">
        <f t="shared" si="16"/>
        <v>0</v>
      </c>
      <c r="E362" s="560">
        <f t="shared" si="17"/>
        <v>-4.1836756281554699E-10</v>
      </c>
    </row>
    <row r="363" spans="2:5" x14ac:dyDescent="0.2">
      <c r="B363" s="535">
        <v>348</v>
      </c>
      <c r="C363" s="560">
        <f t="shared" si="15"/>
        <v>0</v>
      </c>
      <c r="D363" s="536">
        <f t="shared" si="16"/>
        <v>0</v>
      </c>
      <c r="E363" s="560">
        <f t="shared" si="17"/>
        <v>-4.1836756281554699E-10</v>
      </c>
    </row>
    <row r="364" spans="2:5" x14ac:dyDescent="0.2">
      <c r="B364" s="535">
        <v>349</v>
      </c>
      <c r="C364" s="560">
        <f t="shared" si="15"/>
        <v>0</v>
      </c>
      <c r="D364" s="536">
        <f t="shared" si="16"/>
        <v>0</v>
      </c>
      <c r="E364" s="560">
        <f t="shared" si="17"/>
        <v>-4.1836756281554699E-10</v>
      </c>
    </row>
    <row r="365" spans="2:5" x14ac:dyDescent="0.2">
      <c r="B365" s="535">
        <v>350</v>
      </c>
      <c r="C365" s="560">
        <f t="shared" si="15"/>
        <v>0</v>
      </c>
      <c r="D365" s="536">
        <f t="shared" si="16"/>
        <v>0</v>
      </c>
      <c r="E365" s="560">
        <f t="shared" si="17"/>
        <v>-4.1836756281554699E-10</v>
      </c>
    </row>
    <row r="366" spans="2:5" x14ac:dyDescent="0.2">
      <c r="B366" s="535">
        <v>351</v>
      </c>
      <c r="C366" s="560">
        <f t="shared" si="15"/>
        <v>0</v>
      </c>
      <c r="D366" s="536">
        <f t="shared" si="16"/>
        <v>0</v>
      </c>
      <c r="E366" s="560">
        <f t="shared" si="17"/>
        <v>-4.1836756281554699E-10</v>
      </c>
    </row>
    <row r="367" spans="2:5" x14ac:dyDescent="0.2">
      <c r="B367" s="535">
        <v>352</v>
      </c>
      <c r="C367" s="560">
        <f t="shared" si="15"/>
        <v>0</v>
      </c>
      <c r="D367" s="536">
        <f t="shared" si="16"/>
        <v>0</v>
      </c>
      <c r="E367" s="560">
        <f t="shared" si="17"/>
        <v>-4.1836756281554699E-10</v>
      </c>
    </row>
    <row r="368" spans="2:5" x14ac:dyDescent="0.2">
      <c r="B368" s="535">
        <v>353</v>
      </c>
      <c r="C368" s="560">
        <f t="shared" si="15"/>
        <v>0</v>
      </c>
      <c r="D368" s="536">
        <f t="shared" si="16"/>
        <v>0</v>
      </c>
      <c r="E368" s="560">
        <f t="shared" si="17"/>
        <v>-4.1836756281554699E-10</v>
      </c>
    </row>
    <row r="369" spans="2:5" x14ac:dyDescent="0.2">
      <c r="B369" s="535">
        <v>354</v>
      </c>
      <c r="C369" s="560">
        <f t="shared" si="15"/>
        <v>0</v>
      </c>
      <c r="D369" s="536">
        <f t="shared" si="16"/>
        <v>0</v>
      </c>
      <c r="E369" s="560">
        <f t="shared" si="17"/>
        <v>-4.1836756281554699E-10</v>
      </c>
    </row>
    <row r="370" spans="2:5" x14ac:dyDescent="0.2">
      <c r="B370" s="535">
        <v>355</v>
      </c>
      <c r="C370" s="560">
        <f t="shared" si="15"/>
        <v>0</v>
      </c>
      <c r="D370" s="536">
        <f t="shared" si="16"/>
        <v>0</v>
      </c>
      <c r="E370" s="560">
        <f t="shared" si="17"/>
        <v>-4.1836756281554699E-10</v>
      </c>
    </row>
    <row r="371" spans="2:5" x14ac:dyDescent="0.2">
      <c r="B371" s="535">
        <v>356</v>
      </c>
      <c r="C371" s="560">
        <f t="shared" si="15"/>
        <v>0</v>
      </c>
      <c r="D371" s="536">
        <f t="shared" si="16"/>
        <v>0</v>
      </c>
      <c r="E371" s="560">
        <f t="shared" si="17"/>
        <v>-4.1836756281554699E-10</v>
      </c>
    </row>
    <row r="372" spans="2:5" x14ac:dyDescent="0.2">
      <c r="B372" s="535">
        <v>357</v>
      </c>
      <c r="C372" s="560">
        <f t="shared" si="15"/>
        <v>0</v>
      </c>
      <c r="D372" s="536">
        <f t="shared" si="16"/>
        <v>0</v>
      </c>
      <c r="E372" s="560">
        <f t="shared" si="17"/>
        <v>-4.1836756281554699E-10</v>
      </c>
    </row>
    <row r="373" spans="2:5" x14ac:dyDescent="0.2">
      <c r="B373" s="535">
        <v>358</v>
      </c>
      <c r="C373" s="560">
        <f t="shared" si="15"/>
        <v>0</v>
      </c>
      <c r="D373" s="536">
        <f t="shared" si="16"/>
        <v>0</v>
      </c>
      <c r="E373" s="560">
        <f t="shared" si="17"/>
        <v>-4.1836756281554699E-10</v>
      </c>
    </row>
    <row r="374" spans="2:5" x14ac:dyDescent="0.2">
      <c r="B374" s="535">
        <v>359</v>
      </c>
      <c r="C374" s="560">
        <f t="shared" si="15"/>
        <v>0</v>
      </c>
      <c r="D374" s="536">
        <f t="shared" si="16"/>
        <v>0</v>
      </c>
      <c r="E374" s="560">
        <f t="shared" si="17"/>
        <v>-4.1836756281554699E-10</v>
      </c>
    </row>
    <row r="375" spans="2:5" x14ac:dyDescent="0.2">
      <c r="B375" s="535">
        <v>360</v>
      </c>
      <c r="C375" s="560">
        <f t="shared" si="15"/>
        <v>0</v>
      </c>
      <c r="D375" s="536">
        <f t="shared" si="16"/>
        <v>0</v>
      </c>
      <c r="E375" s="560">
        <f t="shared" si="17"/>
        <v>-4.1836756281554699E-10</v>
      </c>
    </row>
    <row r="376" spans="2:5" x14ac:dyDescent="0.2">
      <c r="B376" s="535">
        <v>361</v>
      </c>
      <c r="C376" s="560">
        <f t="shared" si="15"/>
        <v>0</v>
      </c>
      <c r="D376" s="536">
        <f t="shared" si="16"/>
        <v>0</v>
      </c>
      <c r="E376" s="560">
        <f t="shared" si="17"/>
        <v>-4.1836756281554699E-10</v>
      </c>
    </row>
    <row r="377" spans="2:5" x14ac:dyDescent="0.2">
      <c r="B377" s="535">
        <v>362</v>
      </c>
      <c r="C377" s="560">
        <f t="shared" si="15"/>
        <v>0</v>
      </c>
      <c r="D377" s="536">
        <f t="shared" si="16"/>
        <v>0</v>
      </c>
      <c r="E377" s="560">
        <f t="shared" si="17"/>
        <v>-4.1836756281554699E-10</v>
      </c>
    </row>
    <row r="378" spans="2:5" x14ac:dyDescent="0.2">
      <c r="B378" s="535">
        <v>363</v>
      </c>
      <c r="C378" s="560">
        <f t="shared" si="15"/>
        <v>0</v>
      </c>
      <c r="D378" s="536">
        <f t="shared" si="16"/>
        <v>0</v>
      </c>
      <c r="E378" s="560">
        <f t="shared" si="17"/>
        <v>-4.1836756281554699E-10</v>
      </c>
    </row>
    <row r="379" spans="2:5" x14ac:dyDescent="0.2">
      <c r="B379" s="535">
        <v>364</v>
      </c>
      <c r="C379" s="560">
        <f t="shared" si="15"/>
        <v>0</v>
      </c>
      <c r="D379" s="536">
        <f t="shared" si="16"/>
        <v>0</v>
      </c>
      <c r="E379" s="560">
        <f t="shared" si="17"/>
        <v>-4.1836756281554699E-10</v>
      </c>
    </row>
    <row r="380" spans="2:5" x14ac:dyDescent="0.2">
      <c r="B380" s="535">
        <v>365</v>
      </c>
      <c r="C380" s="560">
        <f t="shared" si="15"/>
        <v>0</v>
      </c>
      <c r="D380" s="536">
        <f t="shared" si="16"/>
        <v>0</v>
      </c>
      <c r="E380" s="560">
        <f t="shared" si="17"/>
        <v>-4.1836756281554699E-10</v>
      </c>
    </row>
    <row r="381" spans="2:5" x14ac:dyDescent="0.2">
      <c r="B381" s="535">
        <v>366</v>
      </c>
      <c r="C381" s="560">
        <f t="shared" si="15"/>
        <v>0</v>
      </c>
      <c r="D381" s="536">
        <f t="shared" si="16"/>
        <v>0</v>
      </c>
      <c r="E381" s="560">
        <f t="shared" si="17"/>
        <v>-4.1836756281554699E-10</v>
      </c>
    </row>
    <row r="382" spans="2:5" x14ac:dyDescent="0.2">
      <c r="B382" s="535">
        <v>367</v>
      </c>
      <c r="C382" s="560">
        <f t="shared" si="15"/>
        <v>0</v>
      </c>
      <c r="D382" s="536">
        <f t="shared" si="16"/>
        <v>0</v>
      </c>
      <c r="E382" s="560">
        <f t="shared" si="17"/>
        <v>-4.1836756281554699E-10</v>
      </c>
    </row>
    <row r="383" spans="2:5" x14ac:dyDescent="0.2">
      <c r="B383" s="535">
        <v>368</v>
      </c>
      <c r="C383" s="560">
        <f t="shared" si="15"/>
        <v>0</v>
      </c>
      <c r="D383" s="536">
        <f t="shared" si="16"/>
        <v>0</v>
      </c>
      <c r="E383" s="560">
        <f t="shared" si="17"/>
        <v>-4.1836756281554699E-10</v>
      </c>
    </row>
    <row r="384" spans="2:5" x14ac:dyDescent="0.2">
      <c r="B384" s="535">
        <v>369</v>
      </c>
      <c r="C384" s="560">
        <f t="shared" si="15"/>
        <v>0</v>
      </c>
      <c r="D384" s="536">
        <f t="shared" si="16"/>
        <v>0</v>
      </c>
      <c r="E384" s="560">
        <f t="shared" si="17"/>
        <v>-4.1836756281554699E-10</v>
      </c>
    </row>
    <row r="385" spans="2:5" x14ac:dyDescent="0.2">
      <c r="B385" s="535">
        <v>370</v>
      </c>
      <c r="C385" s="560">
        <f t="shared" si="15"/>
        <v>0</v>
      </c>
      <c r="D385" s="536">
        <f t="shared" si="16"/>
        <v>0</v>
      </c>
      <c r="E385" s="560">
        <f t="shared" si="17"/>
        <v>-4.1836756281554699E-10</v>
      </c>
    </row>
    <row r="386" spans="2:5" x14ac:dyDescent="0.2">
      <c r="B386" s="535">
        <v>371</v>
      </c>
      <c r="C386" s="560">
        <f t="shared" si="15"/>
        <v>0</v>
      </c>
      <c r="D386" s="536">
        <f t="shared" si="16"/>
        <v>0</v>
      </c>
      <c r="E386" s="560">
        <f t="shared" si="17"/>
        <v>-4.1836756281554699E-10</v>
      </c>
    </row>
    <row r="387" spans="2:5" x14ac:dyDescent="0.2">
      <c r="B387" s="535">
        <v>372</v>
      </c>
      <c r="C387" s="560">
        <f t="shared" si="15"/>
        <v>0</v>
      </c>
      <c r="D387" s="536">
        <f t="shared" si="16"/>
        <v>0</v>
      </c>
      <c r="E387" s="560">
        <f t="shared" si="17"/>
        <v>-4.1836756281554699E-10</v>
      </c>
    </row>
    <row r="388" spans="2:5" x14ac:dyDescent="0.2">
      <c r="B388" s="535">
        <v>373</v>
      </c>
      <c r="C388" s="560">
        <f t="shared" si="15"/>
        <v>0</v>
      </c>
      <c r="D388" s="536">
        <f t="shared" si="16"/>
        <v>0</v>
      </c>
      <c r="E388" s="560">
        <f t="shared" si="17"/>
        <v>-4.1836756281554699E-10</v>
      </c>
    </row>
    <row r="389" spans="2:5" x14ac:dyDescent="0.2">
      <c r="B389" s="535">
        <v>374</v>
      </c>
      <c r="C389" s="560">
        <f t="shared" si="15"/>
        <v>0</v>
      </c>
      <c r="D389" s="536">
        <f t="shared" si="16"/>
        <v>0</v>
      </c>
      <c r="E389" s="560">
        <f t="shared" si="17"/>
        <v>-4.1836756281554699E-10</v>
      </c>
    </row>
    <row r="390" spans="2:5" x14ac:dyDescent="0.2">
      <c r="B390" s="535">
        <v>375</v>
      </c>
      <c r="C390" s="560">
        <f t="shared" si="15"/>
        <v>0</v>
      </c>
      <c r="D390" s="536">
        <f t="shared" si="16"/>
        <v>0</v>
      </c>
      <c r="E390" s="560">
        <f t="shared" si="17"/>
        <v>-4.1836756281554699E-10</v>
      </c>
    </row>
    <row r="391" spans="2:5" x14ac:dyDescent="0.2">
      <c r="B391" s="535">
        <v>376</v>
      </c>
      <c r="C391" s="560">
        <f t="shared" si="15"/>
        <v>0</v>
      </c>
      <c r="D391" s="536">
        <f t="shared" si="16"/>
        <v>0</v>
      </c>
      <c r="E391" s="560">
        <f t="shared" si="17"/>
        <v>-4.1836756281554699E-10</v>
      </c>
    </row>
    <row r="392" spans="2:5" x14ac:dyDescent="0.2">
      <c r="B392" s="535">
        <v>377</v>
      </c>
      <c r="C392" s="560">
        <f t="shared" si="15"/>
        <v>0</v>
      </c>
      <c r="D392" s="536">
        <f t="shared" si="16"/>
        <v>0</v>
      </c>
      <c r="E392" s="560">
        <f t="shared" si="17"/>
        <v>-4.1836756281554699E-10</v>
      </c>
    </row>
    <row r="393" spans="2:5" x14ac:dyDescent="0.2">
      <c r="B393" s="535">
        <v>378</v>
      </c>
      <c r="C393" s="560">
        <f t="shared" si="15"/>
        <v>0</v>
      </c>
      <c r="D393" s="536">
        <f t="shared" si="16"/>
        <v>0</v>
      </c>
      <c r="E393" s="560">
        <f t="shared" si="17"/>
        <v>-4.1836756281554699E-10</v>
      </c>
    </row>
    <row r="394" spans="2:5" x14ac:dyDescent="0.2">
      <c r="B394" s="535">
        <v>379</v>
      </c>
      <c r="C394" s="560">
        <f t="shared" si="15"/>
        <v>0</v>
      </c>
      <c r="D394" s="536">
        <f t="shared" si="16"/>
        <v>0</v>
      </c>
      <c r="E394" s="560">
        <f t="shared" si="17"/>
        <v>-4.1836756281554699E-10</v>
      </c>
    </row>
    <row r="395" spans="2:5" x14ac:dyDescent="0.2">
      <c r="B395" s="535">
        <v>380</v>
      </c>
      <c r="C395" s="560">
        <f t="shared" si="15"/>
        <v>0</v>
      </c>
      <c r="D395" s="536">
        <f t="shared" si="16"/>
        <v>0</v>
      </c>
      <c r="E395" s="560">
        <f t="shared" si="17"/>
        <v>-4.1836756281554699E-10</v>
      </c>
    </row>
    <row r="396" spans="2:5" x14ac:dyDescent="0.2">
      <c r="B396" s="535">
        <v>381</v>
      </c>
      <c r="C396" s="560">
        <f t="shared" si="15"/>
        <v>0</v>
      </c>
      <c r="D396" s="536">
        <f t="shared" si="16"/>
        <v>0</v>
      </c>
      <c r="E396" s="560">
        <f t="shared" si="17"/>
        <v>-4.1836756281554699E-10</v>
      </c>
    </row>
    <row r="397" spans="2:5" x14ac:dyDescent="0.2">
      <c r="B397" s="535">
        <v>382</v>
      </c>
      <c r="C397" s="560">
        <f t="shared" si="15"/>
        <v>0</v>
      </c>
      <c r="D397" s="536">
        <f t="shared" si="16"/>
        <v>0</v>
      </c>
      <c r="E397" s="560">
        <f t="shared" si="17"/>
        <v>-4.1836756281554699E-10</v>
      </c>
    </row>
    <row r="398" spans="2:5" x14ac:dyDescent="0.2">
      <c r="B398" s="535">
        <v>383</v>
      </c>
      <c r="C398" s="560">
        <f t="shared" si="15"/>
        <v>0</v>
      </c>
      <c r="D398" s="536">
        <f t="shared" si="16"/>
        <v>0</v>
      </c>
      <c r="E398" s="560">
        <f t="shared" si="17"/>
        <v>-4.1836756281554699E-10</v>
      </c>
    </row>
    <row r="399" spans="2:5" x14ac:dyDescent="0.2">
      <c r="B399" s="535">
        <v>384</v>
      </c>
      <c r="C399" s="560">
        <f t="shared" si="15"/>
        <v>0</v>
      </c>
      <c r="D399" s="536">
        <f t="shared" si="16"/>
        <v>0</v>
      </c>
      <c r="E399" s="560">
        <f t="shared" si="17"/>
        <v>-4.1836756281554699E-10</v>
      </c>
    </row>
    <row r="400" spans="2:5" x14ac:dyDescent="0.2">
      <c r="B400" s="535">
        <v>385</v>
      </c>
      <c r="C400" s="560">
        <f t="shared" si="15"/>
        <v>0</v>
      </c>
      <c r="D400" s="536">
        <f t="shared" si="16"/>
        <v>0</v>
      </c>
      <c r="E400" s="560">
        <f t="shared" si="17"/>
        <v>-4.1836756281554699E-10</v>
      </c>
    </row>
    <row r="401" spans="2:5" x14ac:dyDescent="0.2">
      <c r="B401" s="535">
        <v>386</v>
      </c>
      <c r="C401" s="560">
        <f t="shared" si="15"/>
        <v>0</v>
      </c>
      <c r="D401" s="536">
        <f t="shared" si="16"/>
        <v>0</v>
      </c>
      <c r="E401" s="560">
        <f t="shared" si="17"/>
        <v>-4.1836756281554699E-10</v>
      </c>
    </row>
    <row r="402" spans="2:5" x14ac:dyDescent="0.2">
      <c r="B402" s="535">
        <v>387</v>
      </c>
      <c r="C402" s="560">
        <f t="shared" ref="C402:C465" si="18">IF(B402&gt;$C$9,,E401*$C$8/12)</f>
        <v>0</v>
      </c>
      <c r="D402" s="536">
        <f t="shared" ref="D402:D465" si="19">IF(B402&gt;$C$9,,$C$10+C402)</f>
        <v>0</v>
      </c>
      <c r="E402" s="560">
        <f t="shared" ref="E402:E465" si="20">E401+D402</f>
        <v>-4.1836756281554699E-10</v>
      </c>
    </row>
    <row r="403" spans="2:5" x14ac:dyDescent="0.2">
      <c r="B403" s="535">
        <v>388</v>
      </c>
      <c r="C403" s="560">
        <f t="shared" si="18"/>
        <v>0</v>
      </c>
      <c r="D403" s="536">
        <f t="shared" si="19"/>
        <v>0</v>
      </c>
      <c r="E403" s="560">
        <f t="shared" si="20"/>
        <v>-4.1836756281554699E-10</v>
      </c>
    </row>
    <row r="404" spans="2:5" x14ac:dyDescent="0.2">
      <c r="B404" s="535">
        <v>389</v>
      </c>
      <c r="C404" s="560">
        <f t="shared" si="18"/>
        <v>0</v>
      </c>
      <c r="D404" s="536">
        <f t="shared" si="19"/>
        <v>0</v>
      </c>
      <c r="E404" s="560">
        <f t="shared" si="20"/>
        <v>-4.1836756281554699E-10</v>
      </c>
    </row>
    <row r="405" spans="2:5" x14ac:dyDescent="0.2">
      <c r="B405" s="535">
        <v>390</v>
      </c>
      <c r="C405" s="560">
        <f t="shared" si="18"/>
        <v>0</v>
      </c>
      <c r="D405" s="536">
        <f t="shared" si="19"/>
        <v>0</v>
      </c>
      <c r="E405" s="560">
        <f t="shared" si="20"/>
        <v>-4.1836756281554699E-10</v>
      </c>
    </row>
    <row r="406" spans="2:5" x14ac:dyDescent="0.2">
      <c r="B406" s="535">
        <v>391</v>
      </c>
      <c r="C406" s="560">
        <f t="shared" si="18"/>
        <v>0</v>
      </c>
      <c r="D406" s="536">
        <f t="shared" si="19"/>
        <v>0</v>
      </c>
      <c r="E406" s="560">
        <f t="shared" si="20"/>
        <v>-4.1836756281554699E-10</v>
      </c>
    </row>
    <row r="407" spans="2:5" x14ac:dyDescent="0.2">
      <c r="B407" s="535">
        <v>392</v>
      </c>
      <c r="C407" s="560">
        <f t="shared" si="18"/>
        <v>0</v>
      </c>
      <c r="D407" s="536">
        <f t="shared" si="19"/>
        <v>0</v>
      </c>
      <c r="E407" s="560">
        <f t="shared" si="20"/>
        <v>-4.1836756281554699E-10</v>
      </c>
    </row>
    <row r="408" spans="2:5" x14ac:dyDescent="0.2">
      <c r="B408" s="535">
        <v>393</v>
      </c>
      <c r="C408" s="560">
        <f t="shared" si="18"/>
        <v>0</v>
      </c>
      <c r="D408" s="536">
        <f t="shared" si="19"/>
        <v>0</v>
      </c>
      <c r="E408" s="560">
        <f t="shared" si="20"/>
        <v>-4.1836756281554699E-10</v>
      </c>
    </row>
    <row r="409" spans="2:5" x14ac:dyDescent="0.2">
      <c r="B409" s="535">
        <v>394</v>
      </c>
      <c r="C409" s="560">
        <f t="shared" si="18"/>
        <v>0</v>
      </c>
      <c r="D409" s="536">
        <f t="shared" si="19"/>
        <v>0</v>
      </c>
      <c r="E409" s="560">
        <f t="shared" si="20"/>
        <v>-4.1836756281554699E-10</v>
      </c>
    </row>
    <row r="410" spans="2:5" x14ac:dyDescent="0.2">
      <c r="B410" s="535">
        <v>395</v>
      </c>
      <c r="C410" s="560">
        <f t="shared" si="18"/>
        <v>0</v>
      </c>
      <c r="D410" s="536">
        <f t="shared" si="19"/>
        <v>0</v>
      </c>
      <c r="E410" s="560">
        <f t="shared" si="20"/>
        <v>-4.1836756281554699E-10</v>
      </c>
    </row>
    <row r="411" spans="2:5" x14ac:dyDescent="0.2">
      <c r="B411" s="535">
        <v>396</v>
      </c>
      <c r="C411" s="560">
        <f t="shared" si="18"/>
        <v>0</v>
      </c>
      <c r="D411" s="536">
        <f t="shared" si="19"/>
        <v>0</v>
      </c>
      <c r="E411" s="560">
        <f t="shared" si="20"/>
        <v>-4.1836756281554699E-10</v>
      </c>
    </row>
    <row r="412" spans="2:5" x14ac:dyDescent="0.2">
      <c r="B412" s="535">
        <v>397</v>
      </c>
      <c r="C412" s="560">
        <f t="shared" si="18"/>
        <v>0</v>
      </c>
      <c r="D412" s="536">
        <f t="shared" si="19"/>
        <v>0</v>
      </c>
      <c r="E412" s="560">
        <f t="shared" si="20"/>
        <v>-4.1836756281554699E-10</v>
      </c>
    </row>
    <row r="413" spans="2:5" x14ac:dyDescent="0.2">
      <c r="B413" s="535">
        <v>398</v>
      </c>
      <c r="C413" s="560">
        <f t="shared" si="18"/>
        <v>0</v>
      </c>
      <c r="D413" s="536">
        <f t="shared" si="19"/>
        <v>0</v>
      </c>
      <c r="E413" s="560">
        <f t="shared" si="20"/>
        <v>-4.1836756281554699E-10</v>
      </c>
    </row>
    <row r="414" spans="2:5" x14ac:dyDescent="0.2">
      <c r="B414" s="535">
        <v>399</v>
      </c>
      <c r="C414" s="560">
        <f t="shared" si="18"/>
        <v>0</v>
      </c>
      <c r="D414" s="536">
        <f t="shared" si="19"/>
        <v>0</v>
      </c>
      <c r="E414" s="560">
        <f t="shared" si="20"/>
        <v>-4.1836756281554699E-10</v>
      </c>
    </row>
    <row r="415" spans="2:5" x14ac:dyDescent="0.2">
      <c r="B415" s="535">
        <v>400</v>
      </c>
      <c r="C415" s="560">
        <f t="shared" si="18"/>
        <v>0</v>
      </c>
      <c r="D415" s="536">
        <f t="shared" si="19"/>
        <v>0</v>
      </c>
      <c r="E415" s="560">
        <f t="shared" si="20"/>
        <v>-4.1836756281554699E-10</v>
      </c>
    </row>
    <row r="416" spans="2:5" x14ac:dyDescent="0.2">
      <c r="B416" s="535">
        <v>401</v>
      </c>
      <c r="C416" s="560">
        <f t="shared" si="18"/>
        <v>0</v>
      </c>
      <c r="D416" s="536">
        <f t="shared" si="19"/>
        <v>0</v>
      </c>
      <c r="E416" s="560">
        <f t="shared" si="20"/>
        <v>-4.1836756281554699E-10</v>
      </c>
    </row>
    <row r="417" spans="2:5" x14ac:dyDescent="0.2">
      <c r="B417" s="535">
        <v>402</v>
      </c>
      <c r="C417" s="560">
        <f t="shared" si="18"/>
        <v>0</v>
      </c>
      <c r="D417" s="536">
        <f t="shared" si="19"/>
        <v>0</v>
      </c>
      <c r="E417" s="560">
        <f t="shared" si="20"/>
        <v>-4.1836756281554699E-10</v>
      </c>
    </row>
    <row r="418" spans="2:5" x14ac:dyDescent="0.2">
      <c r="B418" s="535">
        <v>403</v>
      </c>
      <c r="C418" s="560">
        <f t="shared" si="18"/>
        <v>0</v>
      </c>
      <c r="D418" s="536">
        <f t="shared" si="19"/>
        <v>0</v>
      </c>
      <c r="E418" s="560">
        <f t="shared" si="20"/>
        <v>-4.1836756281554699E-10</v>
      </c>
    </row>
    <row r="419" spans="2:5" x14ac:dyDescent="0.2">
      <c r="B419" s="535">
        <v>404</v>
      </c>
      <c r="C419" s="560">
        <f t="shared" si="18"/>
        <v>0</v>
      </c>
      <c r="D419" s="536">
        <f t="shared" si="19"/>
        <v>0</v>
      </c>
      <c r="E419" s="560">
        <f t="shared" si="20"/>
        <v>-4.1836756281554699E-10</v>
      </c>
    </row>
    <row r="420" spans="2:5" x14ac:dyDescent="0.2">
      <c r="B420" s="535">
        <v>405</v>
      </c>
      <c r="C420" s="560">
        <f t="shared" si="18"/>
        <v>0</v>
      </c>
      <c r="D420" s="536">
        <f t="shared" si="19"/>
        <v>0</v>
      </c>
      <c r="E420" s="560">
        <f t="shared" si="20"/>
        <v>-4.1836756281554699E-10</v>
      </c>
    </row>
    <row r="421" spans="2:5" x14ac:dyDescent="0.2">
      <c r="B421" s="535">
        <v>406</v>
      </c>
      <c r="C421" s="560">
        <f t="shared" si="18"/>
        <v>0</v>
      </c>
      <c r="D421" s="536">
        <f t="shared" si="19"/>
        <v>0</v>
      </c>
      <c r="E421" s="560">
        <f t="shared" si="20"/>
        <v>-4.1836756281554699E-10</v>
      </c>
    </row>
    <row r="422" spans="2:5" x14ac:dyDescent="0.2">
      <c r="B422" s="535">
        <v>407</v>
      </c>
      <c r="C422" s="560">
        <f t="shared" si="18"/>
        <v>0</v>
      </c>
      <c r="D422" s="536">
        <f t="shared" si="19"/>
        <v>0</v>
      </c>
      <c r="E422" s="560">
        <f t="shared" si="20"/>
        <v>-4.1836756281554699E-10</v>
      </c>
    </row>
    <row r="423" spans="2:5" x14ac:dyDescent="0.2">
      <c r="B423" s="535">
        <v>408</v>
      </c>
      <c r="C423" s="560">
        <f t="shared" si="18"/>
        <v>0</v>
      </c>
      <c r="D423" s="536">
        <f t="shared" si="19"/>
        <v>0</v>
      </c>
      <c r="E423" s="560">
        <f t="shared" si="20"/>
        <v>-4.1836756281554699E-10</v>
      </c>
    </row>
    <row r="424" spans="2:5" x14ac:dyDescent="0.2">
      <c r="B424" s="535">
        <v>409</v>
      </c>
      <c r="C424" s="560">
        <f t="shared" si="18"/>
        <v>0</v>
      </c>
      <c r="D424" s="536">
        <f t="shared" si="19"/>
        <v>0</v>
      </c>
      <c r="E424" s="560">
        <f t="shared" si="20"/>
        <v>-4.1836756281554699E-10</v>
      </c>
    </row>
    <row r="425" spans="2:5" x14ac:dyDescent="0.2">
      <c r="B425" s="535">
        <v>410</v>
      </c>
      <c r="C425" s="560">
        <f t="shared" si="18"/>
        <v>0</v>
      </c>
      <c r="D425" s="536">
        <f t="shared" si="19"/>
        <v>0</v>
      </c>
      <c r="E425" s="560">
        <f t="shared" si="20"/>
        <v>-4.1836756281554699E-10</v>
      </c>
    </row>
    <row r="426" spans="2:5" x14ac:dyDescent="0.2">
      <c r="B426" s="535">
        <v>411</v>
      </c>
      <c r="C426" s="560">
        <f t="shared" si="18"/>
        <v>0</v>
      </c>
      <c r="D426" s="536">
        <f t="shared" si="19"/>
        <v>0</v>
      </c>
      <c r="E426" s="560">
        <f t="shared" si="20"/>
        <v>-4.1836756281554699E-10</v>
      </c>
    </row>
    <row r="427" spans="2:5" x14ac:dyDescent="0.2">
      <c r="B427" s="535">
        <v>412</v>
      </c>
      <c r="C427" s="560">
        <f t="shared" si="18"/>
        <v>0</v>
      </c>
      <c r="D427" s="536">
        <f t="shared" si="19"/>
        <v>0</v>
      </c>
      <c r="E427" s="560">
        <f t="shared" si="20"/>
        <v>-4.1836756281554699E-10</v>
      </c>
    </row>
    <row r="428" spans="2:5" x14ac:dyDescent="0.2">
      <c r="B428" s="535">
        <v>413</v>
      </c>
      <c r="C428" s="560">
        <f t="shared" si="18"/>
        <v>0</v>
      </c>
      <c r="D428" s="536">
        <f t="shared" si="19"/>
        <v>0</v>
      </c>
      <c r="E428" s="560">
        <f t="shared" si="20"/>
        <v>-4.1836756281554699E-10</v>
      </c>
    </row>
    <row r="429" spans="2:5" x14ac:dyDescent="0.2">
      <c r="B429" s="535">
        <v>414</v>
      </c>
      <c r="C429" s="560">
        <f t="shared" si="18"/>
        <v>0</v>
      </c>
      <c r="D429" s="536">
        <f t="shared" si="19"/>
        <v>0</v>
      </c>
      <c r="E429" s="560">
        <f t="shared" si="20"/>
        <v>-4.1836756281554699E-10</v>
      </c>
    </row>
    <row r="430" spans="2:5" x14ac:dyDescent="0.2">
      <c r="B430" s="535">
        <v>415</v>
      </c>
      <c r="C430" s="560">
        <f t="shared" si="18"/>
        <v>0</v>
      </c>
      <c r="D430" s="536">
        <f t="shared" si="19"/>
        <v>0</v>
      </c>
      <c r="E430" s="560">
        <f t="shared" si="20"/>
        <v>-4.1836756281554699E-10</v>
      </c>
    </row>
    <row r="431" spans="2:5" x14ac:dyDescent="0.2">
      <c r="B431" s="535">
        <v>416</v>
      </c>
      <c r="C431" s="560">
        <f t="shared" si="18"/>
        <v>0</v>
      </c>
      <c r="D431" s="536">
        <f t="shared" si="19"/>
        <v>0</v>
      </c>
      <c r="E431" s="560">
        <f t="shared" si="20"/>
        <v>-4.1836756281554699E-10</v>
      </c>
    </row>
    <row r="432" spans="2:5" x14ac:dyDescent="0.2">
      <c r="B432" s="535">
        <v>417</v>
      </c>
      <c r="C432" s="560">
        <f t="shared" si="18"/>
        <v>0</v>
      </c>
      <c r="D432" s="536">
        <f t="shared" si="19"/>
        <v>0</v>
      </c>
      <c r="E432" s="560">
        <f t="shared" si="20"/>
        <v>-4.1836756281554699E-10</v>
      </c>
    </row>
    <row r="433" spans="2:5" x14ac:dyDescent="0.2">
      <c r="B433" s="535">
        <v>418</v>
      </c>
      <c r="C433" s="560">
        <f t="shared" si="18"/>
        <v>0</v>
      </c>
      <c r="D433" s="536">
        <f t="shared" si="19"/>
        <v>0</v>
      </c>
      <c r="E433" s="560">
        <f t="shared" si="20"/>
        <v>-4.1836756281554699E-10</v>
      </c>
    </row>
    <row r="434" spans="2:5" x14ac:dyDescent="0.2">
      <c r="B434" s="535">
        <v>419</v>
      </c>
      <c r="C434" s="560">
        <f t="shared" si="18"/>
        <v>0</v>
      </c>
      <c r="D434" s="536">
        <f t="shared" si="19"/>
        <v>0</v>
      </c>
      <c r="E434" s="560">
        <f t="shared" si="20"/>
        <v>-4.1836756281554699E-10</v>
      </c>
    </row>
    <row r="435" spans="2:5" x14ac:dyDescent="0.2">
      <c r="B435" s="535">
        <v>420</v>
      </c>
      <c r="C435" s="560">
        <f t="shared" si="18"/>
        <v>0</v>
      </c>
      <c r="D435" s="536">
        <f t="shared" si="19"/>
        <v>0</v>
      </c>
      <c r="E435" s="560">
        <f t="shared" si="20"/>
        <v>-4.1836756281554699E-10</v>
      </c>
    </row>
    <row r="436" spans="2:5" x14ac:dyDescent="0.2">
      <c r="B436" s="535">
        <v>421</v>
      </c>
      <c r="C436" s="560">
        <f t="shared" si="18"/>
        <v>0</v>
      </c>
      <c r="D436" s="536">
        <f t="shared" si="19"/>
        <v>0</v>
      </c>
      <c r="E436" s="560">
        <f t="shared" si="20"/>
        <v>-4.1836756281554699E-10</v>
      </c>
    </row>
    <row r="437" spans="2:5" x14ac:dyDescent="0.2">
      <c r="B437" s="535">
        <v>422</v>
      </c>
      <c r="C437" s="560">
        <f t="shared" si="18"/>
        <v>0</v>
      </c>
      <c r="D437" s="536">
        <f t="shared" si="19"/>
        <v>0</v>
      </c>
      <c r="E437" s="560">
        <f t="shared" si="20"/>
        <v>-4.1836756281554699E-10</v>
      </c>
    </row>
    <row r="438" spans="2:5" x14ac:dyDescent="0.2">
      <c r="B438" s="535">
        <v>423</v>
      </c>
      <c r="C438" s="560">
        <f t="shared" si="18"/>
        <v>0</v>
      </c>
      <c r="D438" s="536">
        <f t="shared" si="19"/>
        <v>0</v>
      </c>
      <c r="E438" s="560">
        <f t="shared" si="20"/>
        <v>-4.1836756281554699E-10</v>
      </c>
    </row>
    <row r="439" spans="2:5" x14ac:dyDescent="0.2">
      <c r="B439" s="535">
        <v>424</v>
      </c>
      <c r="C439" s="560">
        <f t="shared" si="18"/>
        <v>0</v>
      </c>
      <c r="D439" s="536">
        <f t="shared" si="19"/>
        <v>0</v>
      </c>
      <c r="E439" s="560">
        <f t="shared" si="20"/>
        <v>-4.1836756281554699E-10</v>
      </c>
    </row>
    <row r="440" spans="2:5" x14ac:dyDescent="0.2">
      <c r="B440" s="535">
        <v>425</v>
      </c>
      <c r="C440" s="560">
        <f t="shared" si="18"/>
        <v>0</v>
      </c>
      <c r="D440" s="536">
        <f t="shared" si="19"/>
        <v>0</v>
      </c>
      <c r="E440" s="560">
        <f t="shared" si="20"/>
        <v>-4.1836756281554699E-10</v>
      </c>
    </row>
    <row r="441" spans="2:5" x14ac:dyDescent="0.2">
      <c r="B441" s="535">
        <v>426</v>
      </c>
      <c r="C441" s="560">
        <f t="shared" si="18"/>
        <v>0</v>
      </c>
      <c r="D441" s="536">
        <f t="shared" si="19"/>
        <v>0</v>
      </c>
      <c r="E441" s="560">
        <f t="shared" si="20"/>
        <v>-4.1836756281554699E-10</v>
      </c>
    </row>
    <row r="442" spans="2:5" x14ac:dyDescent="0.2">
      <c r="B442" s="535">
        <v>427</v>
      </c>
      <c r="C442" s="560">
        <f t="shared" si="18"/>
        <v>0</v>
      </c>
      <c r="D442" s="536">
        <f t="shared" si="19"/>
        <v>0</v>
      </c>
      <c r="E442" s="560">
        <f t="shared" si="20"/>
        <v>-4.1836756281554699E-10</v>
      </c>
    </row>
    <row r="443" spans="2:5" x14ac:dyDescent="0.2">
      <c r="B443" s="535">
        <v>428</v>
      </c>
      <c r="C443" s="560">
        <f t="shared" si="18"/>
        <v>0</v>
      </c>
      <c r="D443" s="536">
        <f t="shared" si="19"/>
        <v>0</v>
      </c>
      <c r="E443" s="560">
        <f t="shared" si="20"/>
        <v>-4.1836756281554699E-10</v>
      </c>
    </row>
    <row r="444" spans="2:5" x14ac:dyDescent="0.2">
      <c r="B444" s="535">
        <v>429</v>
      </c>
      <c r="C444" s="560">
        <f t="shared" si="18"/>
        <v>0</v>
      </c>
      <c r="D444" s="536">
        <f t="shared" si="19"/>
        <v>0</v>
      </c>
      <c r="E444" s="560">
        <f t="shared" si="20"/>
        <v>-4.1836756281554699E-10</v>
      </c>
    </row>
    <row r="445" spans="2:5" x14ac:dyDescent="0.2">
      <c r="B445" s="535">
        <v>430</v>
      </c>
      <c r="C445" s="560">
        <f t="shared" si="18"/>
        <v>0</v>
      </c>
      <c r="D445" s="536">
        <f t="shared" si="19"/>
        <v>0</v>
      </c>
      <c r="E445" s="560">
        <f t="shared" si="20"/>
        <v>-4.1836756281554699E-10</v>
      </c>
    </row>
    <row r="446" spans="2:5" x14ac:dyDescent="0.2">
      <c r="B446" s="535">
        <v>431</v>
      </c>
      <c r="C446" s="560">
        <f t="shared" si="18"/>
        <v>0</v>
      </c>
      <c r="D446" s="536">
        <f t="shared" si="19"/>
        <v>0</v>
      </c>
      <c r="E446" s="560">
        <f t="shared" si="20"/>
        <v>-4.1836756281554699E-10</v>
      </c>
    </row>
    <row r="447" spans="2:5" x14ac:dyDescent="0.2">
      <c r="B447" s="535">
        <v>432</v>
      </c>
      <c r="C447" s="560">
        <f t="shared" si="18"/>
        <v>0</v>
      </c>
      <c r="D447" s="536">
        <f t="shared" si="19"/>
        <v>0</v>
      </c>
      <c r="E447" s="560">
        <f t="shared" si="20"/>
        <v>-4.1836756281554699E-10</v>
      </c>
    </row>
    <row r="448" spans="2:5" x14ac:dyDescent="0.2">
      <c r="B448" s="535">
        <v>433</v>
      </c>
      <c r="C448" s="560">
        <f t="shared" si="18"/>
        <v>0</v>
      </c>
      <c r="D448" s="536">
        <f t="shared" si="19"/>
        <v>0</v>
      </c>
      <c r="E448" s="560">
        <f t="shared" si="20"/>
        <v>-4.1836756281554699E-10</v>
      </c>
    </row>
    <row r="449" spans="2:5" x14ac:dyDescent="0.2">
      <c r="B449" s="535">
        <v>434</v>
      </c>
      <c r="C449" s="560">
        <f t="shared" si="18"/>
        <v>0</v>
      </c>
      <c r="D449" s="536">
        <f t="shared" si="19"/>
        <v>0</v>
      </c>
      <c r="E449" s="560">
        <f t="shared" si="20"/>
        <v>-4.1836756281554699E-10</v>
      </c>
    </row>
    <row r="450" spans="2:5" x14ac:dyDescent="0.2">
      <c r="B450" s="535">
        <v>435</v>
      </c>
      <c r="C450" s="560">
        <f t="shared" si="18"/>
        <v>0</v>
      </c>
      <c r="D450" s="536">
        <f t="shared" si="19"/>
        <v>0</v>
      </c>
      <c r="E450" s="560">
        <f t="shared" si="20"/>
        <v>-4.1836756281554699E-10</v>
      </c>
    </row>
    <row r="451" spans="2:5" x14ac:dyDescent="0.2">
      <c r="B451" s="535">
        <v>436</v>
      </c>
      <c r="C451" s="560">
        <f t="shared" si="18"/>
        <v>0</v>
      </c>
      <c r="D451" s="536">
        <f t="shared" si="19"/>
        <v>0</v>
      </c>
      <c r="E451" s="560">
        <f t="shared" si="20"/>
        <v>-4.1836756281554699E-10</v>
      </c>
    </row>
    <row r="452" spans="2:5" x14ac:dyDescent="0.2">
      <c r="B452" s="535">
        <v>437</v>
      </c>
      <c r="C452" s="560">
        <f t="shared" si="18"/>
        <v>0</v>
      </c>
      <c r="D452" s="536">
        <f t="shared" si="19"/>
        <v>0</v>
      </c>
      <c r="E452" s="560">
        <f t="shared" si="20"/>
        <v>-4.1836756281554699E-10</v>
      </c>
    </row>
    <row r="453" spans="2:5" x14ac:dyDescent="0.2">
      <c r="B453" s="535">
        <v>438</v>
      </c>
      <c r="C453" s="560">
        <f t="shared" si="18"/>
        <v>0</v>
      </c>
      <c r="D453" s="536">
        <f t="shared" si="19"/>
        <v>0</v>
      </c>
      <c r="E453" s="560">
        <f t="shared" si="20"/>
        <v>-4.1836756281554699E-10</v>
      </c>
    </row>
    <row r="454" spans="2:5" x14ac:dyDescent="0.2">
      <c r="B454" s="535">
        <v>439</v>
      </c>
      <c r="C454" s="560">
        <f t="shared" si="18"/>
        <v>0</v>
      </c>
      <c r="D454" s="536">
        <f t="shared" si="19"/>
        <v>0</v>
      </c>
      <c r="E454" s="560">
        <f t="shared" si="20"/>
        <v>-4.1836756281554699E-10</v>
      </c>
    </row>
    <row r="455" spans="2:5" x14ac:dyDescent="0.2">
      <c r="B455" s="535">
        <v>440</v>
      </c>
      <c r="C455" s="560">
        <f t="shared" si="18"/>
        <v>0</v>
      </c>
      <c r="D455" s="536">
        <f t="shared" si="19"/>
        <v>0</v>
      </c>
      <c r="E455" s="560">
        <f t="shared" si="20"/>
        <v>-4.1836756281554699E-10</v>
      </c>
    </row>
    <row r="456" spans="2:5" x14ac:dyDescent="0.2">
      <c r="B456" s="535">
        <v>441</v>
      </c>
      <c r="C456" s="560">
        <f t="shared" si="18"/>
        <v>0</v>
      </c>
      <c r="D456" s="536">
        <f t="shared" si="19"/>
        <v>0</v>
      </c>
      <c r="E456" s="560">
        <f t="shared" si="20"/>
        <v>-4.1836756281554699E-10</v>
      </c>
    </row>
    <row r="457" spans="2:5" x14ac:dyDescent="0.2">
      <c r="B457" s="535">
        <v>442</v>
      </c>
      <c r="C457" s="560">
        <f t="shared" si="18"/>
        <v>0</v>
      </c>
      <c r="D457" s="536">
        <f t="shared" si="19"/>
        <v>0</v>
      </c>
      <c r="E457" s="560">
        <f t="shared" si="20"/>
        <v>-4.1836756281554699E-10</v>
      </c>
    </row>
    <row r="458" spans="2:5" x14ac:dyDescent="0.2">
      <c r="B458" s="535">
        <v>443</v>
      </c>
      <c r="C458" s="560">
        <f t="shared" si="18"/>
        <v>0</v>
      </c>
      <c r="D458" s="536">
        <f t="shared" si="19"/>
        <v>0</v>
      </c>
      <c r="E458" s="560">
        <f t="shared" si="20"/>
        <v>-4.1836756281554699E-10</v>
      </c>
    </row>
    <row r="459" spans="2:5" x14ac:dyDescent="0.2">
      <c r="B459" s="535">
        <v>444</v>
      </c>
      <c r="C459" s="560">
        <f t="shared" si="18"/>
        <v>0</v>
      </c>
      <c r="D459" s="536">
        <f t="shared" si="19"/>
        <v>0</v>
      </c>
      <c r="E459" s="560">
        <f t="shared" si="20"/>
        <v>-4.1836756281554699E-10</v>
      </c>
    </row>
    <row r="460" spans="2:5" x14ac:dyDescent="0.2">
      <c r="B460" s="535">
        <v>445</v>
      </c>
      <c r="C460" s="560">
        <f t="shared" si="18"/>
        <v>0</v>
      </c>
      <c r="D460" s="536">
        <f t="shared" si="19"/>
        <v>0</v>
      </c>
      <c r="E460" s="560">
        <f t="shared" si="20"/>
        <v>-4.1836756281554699E-10</v>
      </c>
    </row>
    <row r="461" spans="2:5" x14ac:dyDescent="0.2">
      <c r="B461" s="535">
        <v>446</v>
      </c>
      <c r="C461" s="560">
        <f t="shared" si="18"/>
        <v>0</v>
      </c>
      <c r="D461" s="536">
        <f t="shared" si="19"/>
        <v>0</v>
      </c>
      <c r="E461" s="560">
        <f t="shared" si="20"/>
        <v>-4.1836756281554699E-10</v>
      </c>
    </row>
    <row r="462" spans="2:5" x14ac:dyDescent="0.2">
      <c r="B462" s="535">
        <v>447</v>
      </c>
      <c r="C462" s="560">
        <f t="shared" si="18"/>
        <v>0</v>
      </c>
      <c r="D462" s="536">
        <f t="shared" si="19"/>
        <v>0</v>
      </c>
      <c r="E462" s="560">
        <f t="shared" si="20"/>
        <v>-4.1836756281554699E-10</v>
      </c>
    </row>
    <row r="463" spans="2:5" x14ac:dyDescent="0.2">
      <c r="B463" s="535">
        <v>448</v>
      </c>
      <c r="C463" s="560">
        <f t="shared" si="18"/>
        <v>0</v>
      </c>
      <c r="D463" s="536">
        <f t="shared" si="19"/>
        <v>0</v>
      </c>
      <c r="E463" s="560">
        <f t="shared" si="20"/>
        <v>-4.1836756281554699E-10</v>
      </c>
    </row>
    <row r="464" spans="2:5" x14ac:dyDescent="0.2">
      <c r="B464" s="535">
        <v>449</v>
      </c>
      <c r="C464" s="560">
        <f t="shared" si="18"/>
        <v>0</v>
      </c>
      <c r="D464" s="536">
        <f t="shared" si="19"/>
        <v>0</v>
      </c>
      <c r="E464" s="560">
        <f t="shared" si="20"/>
        <v>-4.1836756281554699E-10</v>
      </c>
    </row>
    <row r="465" spans="2:5" x14ac:dyDescent="0.2">
      <c r="B465" s="535">
        <v>450</v>
      </c>
      <c r="C465" s="560">
        <f t="shared" si="18"/>
        <v>0</v>
      </c>
      <c r="D465" s="536">
        <f t="shared" si="19"/>
        <v>0</v>
      </c>
      <c r="E465" s="560">
        <f t="shared" si="20"/>
        <v>-4.1836756281554699E-10</v>
      </c>
    </row>
    <row r="466" spans="2:5" x14ac:dyDescent="0.2">
      <c r="B466" s="535">
        <v>451</v>
      </c>
      <c r="C466" s="560">
        <f t="shared" ref="C466:C529" si="21">IF(B466&gt;$C$9,,E465*$C$8/12)</f>
        <v>0</v>
      </c>
      <c r="D466" s="536">
        <f t="shared" ref="D466:D529" si="22">IF(B466&gt;$C$9,,$C$10+C466)</f>
        <v>0</v>
      </c>
      <c r="E466" s="560">
        <f t="shared" ref="E466:E529" si="23">E465+D466</f>
        <v>-4.1836756281554699E-10</v>
      </c>
    </row>
    <row r="467" spans="2:5" x14ac:dyDescent="0.2">
      <c r="B467" s="535">
        <v>452</v>
      </c>
      <c r="C467" s="560">
        <f t="shared" si="21"/>
        <v>0</v>
      </c>
      <c r="D467" s="536">
        <f t="shared" si="22"/>
        <v>0</v>
      </c>
      <c r="E467" s="560">
        <f t="shared" si="23"/>
        <v>-4.1836756281554699E-10</v>
      </c>
    </row>
    <row r="468" spans="2:5" x14ac:dyDescent="0.2">
      <c r="B468" s="535">
        <v>453</v>
      </c>
      <c r="C468" s="560">
        <f t="shared" si="21"/>
        <v>0</v>
      </c>
      <c r="D468" s="536">
        <f t="shared" si="22"/>
        <v>0</v>
      </c>
      <c r="E468" s="560">
        <f t="shared" si="23"/>
        <v>-4.1836756281554699E-10</v>
      </c>
    </row>
    <row r="469" spans="2:5" x14ac:dyDescent="0.2">
      <c r="B469" s="535">
        <v>454</v>
      </c>
      <c r="C469" s="560">
        <f t="shared" si="21"/>
        <v>0</v>
      </c>
      <c r="D469" s="536">
        <f t="shared" si="22"/>
        <v>0</v>
      </c>
      <c r="E469" s="560">
        <f t="shared" si="23"/>
        <v>-4.1836756281554699E-10</v>
      </c>
    </row>
    <row r="470" spans="2:5" x14ac:dyDescent="0.2">
      <c r="B470" s="535">
        <v>455</v>
      </c>
      <c r="C470" s="560">
        <f t="shared" si="21"/>
        <v>0</v>
      </c>
      <c r="D470" s="536">
        <f t="shared" si="22"/>
        <v>0</v>
      </c>
      <c r="E470" s="560">
        <f t="shared" si="23"/>
        <v>-4.1836756281554699E-10</v>
      </c>
    </row>
    <row r="471" spans="2:5" x14ac:dyDescent="0.2">
      <c r="B471" s="535">
        <v>456</v>
      </c>
      <c r="C471" s="560">
        <f t="shared" si="21"/>
        <v>0</v>
      </c>
      <c r="D471" s="536">
        <f t="shared" si="22"/>
        <v>0</v>
      </c>
      <c r="E471" s="560">
        <f t="shared" si="23"/>
        <v>-4.1836756281554699E-10</v>
      </c>
    </row>
    <row r="472" spans="2:5" x14ac:dyDescent="0.2">
      <c r="B472" s="535">
        <v>457</v>
      </c>
      <c r="C472" s="560">
        <f t="shared" si="21"/>
        <v>0</v>
      </c>
      <c r="D472" s="536">
        <f t="shared" si="22"/>
        <v>0</v>
      </c>
      <c r="E472" s="560">
        <f t="shared" si="23"/>
        <v>-4.1836756281554699E-10</v>
      </c>
    </row>
    <row r="473" spans="2:5" x14ac:dyDescent="0.2">
      <c r="B473" s="535">
        <v>458</v>
      </c>
      <c r="C473" s="560">
        <f t="shared" si="21"/>
        <v>0</v>
      </c>
      <c r="D473" s="536">
        <f t="shared" si="22"/>
        <v>0</v>
      </c>
      <c r="E473" s="560">
        <f t="shared" si="23"/>
        <v>-4.1836756281554699E-10</v>
      </c>
    </row>
    <row r="474" spans="2:5" x14ac:dyDescent="0.2">
      <c r="B474" s="535">
        <v>459</v>
      </c>
      <c r="C474" s="560">
        <f t="shared" si="21"/>
        <v>0</v>
      </c>
      <c r="D474" s="536">
        <f t="shared" si="22"/>
        <v>0</v>
      </c>
      <c r="E474" s="560">
        <f t="shared" si="23"/>
        <v>-4.1836756281554699E-10</v>
      </c>
    </row>
    <row r="475" spans="2:5" x14ac:dyDescent="0.2">
      <c r="B475" s="535">
        <v>460</v>
      </c>
      <c r="C475" s="560">
        <f t="shared" si="21"/>
        <v>0</v>
      </c>
      <c r="D475" s="536">
        <f t="shared" si="22"/>
        <v>0</v>
      </c>
      <c r="E475" s="560">
        <f t="shared" si="23"/>
        <v>-4.1836756281554699E-10</v>
      </c>
    </row>
    <row r="476" spans="2:5" x14ac:dyDescent="0.2">
      <c r="B476" s="535">
        <v>461</v>
      </c>
      <c r="C476" s="560">
        <f t="shared" si="21"/>
        <v>0</v>
      </c>
      <c r="D476" s="536">
        <f t="shared" si="22"/>
        <v>0</v>
      </c>
      <c r="E476" s="560">
        <f t="shared" si="23"/>
        <v>-4.1836756281554699E-10</v>
      </c>
    </row>
    <row r="477" spans="2:5" x14ac:dyDescent="0.2">
      <c r="B477" s="535">
        <v>462</v>
      </c>
      <c r="C477" s="560">
        <f t="shared" si="21"/>
        <v>0</v>
      </c>
      <c r="D477" s="536">
        <f t="shared" si="22"/>
        <v>0</v>
      </c>
      <c r="E477" s="560">
        <f t="shared" si="23"/>
        <v>-4.1836756281554699E-10</v>
      </c>
    </row>
    <row r="478" spans="2:5" x14ac:dyDescent="0.2">
      <c r="B478" s="535">
        <v>463</v>
      </c>
      <c r="C478" s="560">
        <f t="shared" si="21"/>
        <v>0</v>
      </c>
      <c r="D478" s="536">
        <f t="shared" si="22"/>
        <v>0</v>
      </c>
      <c r="E478" s="560">
        <f t="shared" si="23"/>
        <v>-4.1836756281554699E-10</v>
      </c>
    </row>
    <row r="479" spans="2:5" x14ac:dyDescent="0.2">
      <c r="B479" s="535">
        <v>464</v>
      </c>
      <c r="C479" s="560">
        <f t="shared" si="21"/>
        <v>0</v>
      </c>
      <c r="D479" s="536">
        <f t="shared" si="22"/>
        <v>0</v>
      </c>
      <c r="E479" s="560">
        <f t="shared" si="23"/>
        <v>-4.1836756281554699E-10</v>
      </c>
    </row>
    <row r="480" spans="2:5" x14ac:dyDescent="0.2">
      <c r="B480" s="535">
        <v>465</v>
      </c>
      <c r="C480" s="560">
        <f t="shared" si="21"/>
        <v>0</v>
      </c>
      <c r="D480" s="536">
        <f t="shared" si="22"/>
        <v>0</v>
      </c>
      <c r="E480" s="560">
        <f t="shared" si="23"/>
        <v>-4.1836756281554699E-10</v>
      </c>
    </row>
    <row r="481" spans="2:5" x14ac:dyDescent="0.2">
      <c r="B481" s="535">
        <v>466</v>
      </c>
      <c r="C481" s="560">
        <f t="shared" si="21"/>
        <v>0</v>
      </c>
      <c r="D481" s="536">
        <f t="shared" si="22"/>
        <v>0</v>
      </c>
      <c r="E481" s="560">
        <f t="shared" si="23"/>
        <v>-4.1836756281554699E-10</v>
      </c>
    </row>
    <row r="482" spans="2:5" x14ac:dyDescent="0.2">
      <c r="B482" s="535">
        <v>467</v>
      </c>
      <c r="C482" s="560">
        <f t="shared" si="21"/>
        <v>0</v>
      </c>
      <c r="D482" s="536">
        <f t="shared" si="22"/>
        <v>0</v>
      </c>
      <c r="E482" s="560">
        <f t="shared" si="23"/>
        <v>-4.1836756281554699E-10</v>
      </c>
    </row>
    <row r="483" spans="2:5" x14ac:dyDescent="0.2">
      <c r="B483" s="535">
        <v>468</v>
      </c>
      <c r="C483" s="560">
        <f t="shared" si="21"/>
        <v>0</v>
      </c>
      <c r="D483" s="536">
        <f t="shared" si="22"/>
        <v>0</v>
      </c>
      <c r="E483" s="560">
        <f t="shared" si="23"/>
        <v>-4.1836756281554699E-10</v>
      </c>
    </row>
    <row r="484" spans="2:5" x14ac:dyDescent="0.2">
      <c r="B484" s="535">
        <v>469</v>
      </c>
      <c r="C484" s="560">
        <f t="shared" si="21"/>
        <v>0</v>
      </c>
      <c r="D484" s="536">
        <f t="shared" si="22"/>
        <v>0</v>
      </c>
      <c r="E484" s="560">
        <f t="shared" si="23"/>
        <v>-4.1836756281554699E-10</v>
      </c>
    </row>
    <row r="485" spans="2:5" x14ac:dyDescent="0.2">
      <c r="B485" s="535">
        <v>470</v>
      </c>
      <c r="C485" s="560">
        <f t="shared" si="21"/>
        <v>0</v>
      </c>
      <c r="D485" s="536">
        <f t="shared" si="22"/>
        <v>0</v>
      </c>
      <c r="E485" s="560">
        <f t="shared" si="23"/>
        <v>-4.1836756281554699E-10</v>
      </c>
    </row>
    <row r="486" spans="2:5" x14ac:dyDescent="0.2">
      <c r="B486" s="535">
        <v>471</v>
      </c>
      <c r="C486" s="560">
        <f t="shared" si="21"/>
        <v>0</v>
      </c>
      <c r="D486" s="536">
        <f t="shared" si="22"/>
        <v>0</v>
      </c>
      <c r="E486" s="560">
        <f t="shared" si="23"/>
        <v>-4.1836756281554699E-10</v>
      </c>
    </row>
    <row r="487" spans="2:5" x14ac:dyDescent="0.2">
      <c r="B487" s="535">
        <v>472</v>
      </c>
      <c r="C487" s="560">
        <f t="shared" si="21"/>
        <v>0</v>
      </c>
      <c r="D487" s="536">
        <f t="shared" si="22"/>
        <v>0</v>
      </c>
      <c r="E487" s="560">
        <f t="shared" si="23"/>
        <v>-4.1836756281554699E-10</v>
      </c>
    </row>
    <row r="488" spans="2:5" x14ac:dyDescent="0.2">
      <c r="B488" s="535">
        <v>473</v>
      </c>
      <c r="C488" s="560">
        <f t="shared" si="21"/>
        <v>0</v>
      </c>
      <c r="D488" s="536">
        <f t="shared" si="22"/>
        <v>0</v>
      </c>
      <c r="E488" s="560">
        <f t="shared" si="23"/>
        <v>-4.1836756281554699E-10</v>
      </c>
    </row>
    <row r="489" spans="2:5" x14ac:dyDescent="0.2">
      <c r="B489" s="535">
        <v>474</v>
      </c>
      <c r="C489" s="560">
        <f t="shared" si="21"/>
        <v>0</v>
      </c>
      <c r="D489" s="536">
        <f t="shared" si="22"/>
        <v>0</v>
      </c>
      <c r="E489" s="560">
        <f t="shared" si="23"/>
        <v>-4.1836756281554699E-10</v>
      </c>
    </row>
    <row r="490" spans="2:5" x14ac:dyDescent="0.2">
      <c r="B490" s="535">
        <v>475</v>
      </c>
      <c r="C490" s="560">
        <f t="shared" si="21"/>
        <v>0</v>
      </c>
      <c r="D490" s="536">
        <f t="shared" si="22"/>
        <v>0</v>
      </c>
      <c r="E490" s="560">
        <f t="shared" si="23"/>
        <v>-4.1836756281554699E-10</v>
      </c>
    </row>
    <row r="491" spans="2:5" x14ac:dyDescent="0.2">
      <c r="B491" s="535">
        <v>476</v>
      </c>
      <c r="C491" s="560">
        <f t="shared" si="21"/>
        <v>0</v>
      </c>
      <c r="D491" s="536">
        <f t="shared" si="22"/>
        <v>0</v>
      </c>
      <c r="E491" s="560">
        <f t="shared" si="23"/>
        <v>-4.1836756281554699E-10</v>
      </c>
    </row>
    <row r="492" spans="2:5" x14ac:dyDescent="0.2">
      <c r="B492" s="535">
        <v>477</v>
      </c>
      <c r="C492" s="560">
        <f t="shared" si="21"/>
        <v>0</v>
      </c>
      <c r="D492" s="536">
        <f t="shared" si="22"/>
        <v>0</v>
      </c>
      <c r="E492" s="560">
        <f t="shared" si="23"/>
        <v>-4.1836756281554699E-10</v>
      </c>
    </row>
    <row r="493" spans="2:5" x14ac:dyDescent="0.2">
      <c r="B493" s="535">
        <v>478</v>
      </c>
      <c r="C493" s="560">
        <f t="shared" si="21"/>
        <v>0</v>
      </c>
      <c r="D493" s="536">
        <f t="shared" si="22"/>
        <v>0</v>
      </c>
      <c r="E493" s="560">
        <f t="shared" si="23"/>
        <v>-4.1836756281554699E-10</v>
      </c>
    </row>
    <row r="494" spans="2:5" x14ac:dyDescent="0.2">
      <c r="B494" s="535">
        <v>479</v>
      </c>
      <c r="C494" s="560">
        <f t="shared" si="21"/>
        <v>0</v>
      </c>
      <c r="D494" s="536">
        <f t="shared" si="22"/>
        <v>0</v>
      </c>
      <c r="E494" s="560">
        <f t="shared" si="23"/>
        <v>-4.1836756281554699E-10</v>
      </c>
    </row>
    <row r="495" spans="2:5" x14ac:dyDescent="0.2">
      <c r="B495" s="535">
        <v>480</v>
      </c>
      <c r="C495" s="560">
        <f t="shared" si="21"/>
        <v>0</v>
      </c>
      <c r="D495" s="536">
        <f t="shared" si="22"/>
        <v>0</v>
      </c>
      <c r="E495" s="560">
        <f t="shared" si="23"/>
        <v>-4.1836756281554699E-10</v>
      </c>
    </row>
    <row r="496" spans="2:5" x14ac:dyDescent="0.2">
      <c r="B496" s="535">
        <v>481</v>
      </c>
      <c r="C496" s="560">
        <f t="shared" si="21"/>
        <v>0</v>
      </c>
      <c r="D496" s="536">
        <f t="shared" si="22"/>
        <v>0</v>
      </c>
      <c r="E496" s="560">
        <f t="shared" si="23"/>
        <v>-4.1836756281554699E-10</v>
      </c>
    </row>
    <row r="497" spans="2:5" x14ac:dyDescent="0.2">
      <c r="B497" s="535">
        <v>482</v>
      </c>
      <c r="C497" s="560">
        <f t="shared" si="21"/>
        <v>0</v>
      </c>
      <c r="D497" s="536">
        <f t="shared" si="22"/>
        <v>0</v>
      </c>
      <c r="E497" s="560">
        <f t="shared" si="23"/>
        <v>-4.1836756281554699E-10</v>
      </c>
    </row>
    <row r="498" spans="2:5" x14ac:dyDescent="0.2">
      <c r="B498" s="535">
        <v>483</v>
      </c>
      <c r="C498" s="560">
        <f t="shared" si="21"/>
        <v>0</v>
      </c>
      <c r="D498" s="536">
        <f t="shared" si="22"/>
        <v>0</v>
      </c>
      <c r="E498" s="560">
        <f t="shared" si="23"/>
        <v>-4.1836756281554699E-10</v>
      </c>
    </row>
    <row r="499" spans="2:5" x14ac:dyDescent="0.2">
      <c r="B499" s="535">
        <v>484</v>
      </c>
      <c r="C499" s="560">
        <f t="shared" si="21"/>
        <v>0</v>
      </c>
      <c r="D499" s="536">
        <f t="shared" si="22"/>
        <v>0</v>
      </c>
      <c r="E499" s="560">
        <f t="shared" si="23"/>
        <v>-4.1836756281554699E-10</v>
      </c>
    </row>
    <row r="500" spans="2:5" x14ac:dyDescent="0.2">
      <c r="B500" s="535">
        <v>485</v>
      </c>
      <c r="C500" s="560">
        <f t="shared" si="21"/>
        <v>0</v>
      </c>
      <c r="D500" s="536">
        <f t="shared" si="22"/>
        <v>0</v>
      </c>
      <c r="E500" s="560">
        <f t="shared" si="23"/>
        <v>-4.1836756281554699E-10</v>
      </c>
    </row>
    <row r="501" spans="2:5" x14ac:dyDescent="0.2">
      <c r="B501" s="535">
        <v>486</v>
      </c>
      <c r="C501" s="560">
        <f t="shared" si="21"/>
        <v>0</v>
      </c>
      <c r="D501" s="536">
        <f t="shared" si="22"/>
        <v>0</v>
      </c>
      <c r="E501" s="560">
        <f t="shared" si="23"/>
        <v>-4.1836756281554699E-10</v>
      </c>
    </row>
    <row r="502" spans="2:5" x14ac:dyDescent="0.2">
      <c r="B502" s="535">
        <v>487</v>
      </c>
      <c r="C502" s="560">
        <f t="shared" si="21"/>
        <v>0</v>
      </c>
      <c r="D502" s="536">
        <f t="shared" si="22"/>
        <v>0</v>
      </c>
      <c r="E502" s="560">
        <f t="shared" si="23"/>
        <v>-4.1836756281554699E-10</v>
      </c>
    </row>
    <row r="503" spans="2:5" x14ac:dyDescent="0.2">
      <c r="B503" s="535">
        <v>488</v>
      </c>
      <c r="C503" s="560">
        <f t="shared" si="21"/>
        <v>0</v>
      </c>
      <c r="D503" s="536">
        <f t="shared" si="22"/>
        <v>0</v>
      </c>
      <c r="E503" s="560">
        <f t="shared" si="23"/>
        <v>-4.1836756281554699E-10</v>
      </c>
    </row>
    <row r="504" spans="2:5" x14ac:dyDescent="0.2">
      <c r="B504" s="535">
        <v>489</v>
      </c>
      <c r="C504" s="560">
        <f t="shared" si="21"/>
        <v>0</v>
      </c>
      <c r="D504" s="536">
        <f t="shared" si="22"/>
        <v>0</v>
      </c>
      <c r="E504" s="560">
        <f t="shared" si="23"/>
        <v>-4.1836756281554699E-10</v>
      </c>
    </row>
    <row r="505" spans="2:5" x14ac:dyDescent="0.2">
      <c r="B505" s="535">
        <v>490</v>
      </c>
      <c r="C505" s="560">
        <f t="shared" si="21"/>
        <v>0</v>
      </c>
      <c r="D505" s="536">
        <f t="shared" si="22"/>
        <v>0</v>
      </c>
      <c r="E505" s="560">
        <f t="shared" si="23"/>
        <v>-4.1836756281554699E-10</v>
      </c>
    </row>
    <row r="506" spans="2:5" x14ac:dyDescent="0.2">
      <c r="B506" s="535">
        <v>491</v>
      </c>
      <c r="C506" s="560">
        <f t="shared" si="21"/>
        <v>0</v>
      </c>
      <c r="D506" s="536">
        <f t="shared" si="22"/>
        <v>0</v>
      </c>
      <c r="E506" s="560">
        <f t="shared" si="23"/>
        <v>-4.1836756281554699E-10</v>
      </c>
    </row>
    <row r="507" spans="2:5" x14ac:dyDescent="0.2">
      <c r="B507" s="535">
        <v>492</v>
      </c>
      <c r="C507" s="560">
        <f t="shared" si="21"/>
        <v>0</v>
      </c>
      <c r="D507" s="536">
        <f t="shared" si="22"/>
        <v>0</v>
      </c>
      <c r="E507" s="560">
        <f t="shared" si="23"/>
        <v>-4.1836756281554699E-10</v>
      </c>
    </row>
    <row r="508" spans="2:5" x14ac:dyDescent="0.2">
      <c r="B508" s="535">
        <v>493</v>
      </c>
      <c r="C508" s="560">
        <f t="shared" si="21"/>
        <v>0</v>
      </c>
      <c r="D508" s="536">
        <f t="shared" si="22"/>
        <v>0</v>
      </c>
      <c r="E508" s="560">
        <f t="shared" si="23"/>
        <v>-4.1836756281554699E-10</v>
      </c>
    </row>
    <row r="509" spans="2:5" x14ac:dyDescent="0.2">
      <c r="B509" s="535">
        <v>494</v>
      </c>
      <c r="C509" s="560">
        <f t="shared" si="21"/>
        <v>0</v>
      </c>
      <c r="D509" s="536">
        <f t="shared" si="22"/>
        <v>0</v>
      </c>
      <c r="E509" s="560">
        <f t="shared" si="23"/>
        <v>-4.1836756281554699E-10</v>
      </c>
    </row>
    <row r="510" spans="2:5" x14ac:dyDescent="0.2">
      <c r="B510" s="535">
        <v>495</v>
      </c>
      <c r="C510" s="560">
        <f t="shared" si="21"/>
        <v>0</v>
      </c>
      <c r="D510" s="536">
        <f t="shared" si="22"/>
        <v>0</v>
      </c>
      <c r="E510" s="560">
        <f t="shared" si="23"/>
        <v>-4.1836756281554699E-10</v>
      </c>
    </row>
    <row r="511" spans="2:5" x14ac:dyDescent="0.2">
      <c r="B511" s="535">
        <v>496</v>
      </c>
      <c r="C511" s="560">
        <f t="shared" si="21"/>
        <v>0</v>
      </c>
      <c r="D511" s="536">
        <f t="shared" si="22"/>
        <v>0</v>
      </c>
      <c r="E511" s="560">
        <f t="shared" si="23"/>
        <v>-4.1836756281554699E-10</v>
      </c>
    </row>
    <row r="512" spans="2:5" x14ac:dyDescent="0.2">
      <c r="B512" s="535">
        <v>497</v>
      </c>
      <c r="C512" s="560">
        <f t="shared" si="21"/>
        <v>0</v>
      </c>
      <c r="D512" s="536">
        <f t="shared" si="22"/>
        <v>0</v>
      </c>
      <c r="E512" s="560">
        <f t="shared" si="23"/>
        <v>-4.1836756281554699E-10</v>
      </c>
    </row>
    <row r="513" spans="2:5" x14ac:dyDescent="0.2">
      <c r="B513" s="535">
        <v>498</v>
      </c>
      <c r="C513" s="560">
        <f t="shared" si="21"/>
        <v>0</v>
      </c>
      <c r="D513" s="536">
        <f t="shared" si="22"/>
        <v>0</v>
      </c>
      <c r="E513" s="560">
        <f t="shared" si="23"/>
        <v>-4.1836756281554699E-10</v>
      </c>
    </row>
    <row r="514" spans="2:5" x14ac:dyDescent="0.2">
      <c r="B514" s="535">
        <v>499</v>
      </c>
      <c r="C514" s="560">
        <f t="shared" si="21"/>
        <v>0</v>
      </c>
      <c r="D514" s="536">
        <f t="shared" si="22"/>
        <v>0</v>
      </c>
      <c r="E514" s="560">
        <f t="shared" si="23"/>
        <v>-4.1836756281554699E-10</v>
      </c>
    </row>
    <row r="515" spans="2:5" x14ac:dyDescent="0.2">
      <c r="B515" s="535">
        <v>500</v>
      </c>
      <c r="C515" s="560">
        <f t="shared" si="21"/>
        <v>0</v>
      </c>
      <c r="D515" s="536">
        <f t="shared" si="22"/>
        <v>0</v>
      </c>
      <c r="E515" s="560">
        <f t="shared" si="23"/>
        <v>-4.1836756281554699E-10</v>
      </c>
    </row>
    <row r="516" spans="2:5" x14ac:dyDescent="0.2">
      <c r="B516" s="535">
        <v>501</v>
      </c>
      <c r="C516" s="560">
        <f t="shared" si="21"/>
        <v>0</v>
      </c>
      <c r="D516" s="536">
        <f t="shared" si="22"/>
        <v>0</v>
      </c>
      <c r="E516" s="560">
        <f t="shared" si="23"/>
        <v>-4.1836756281554699E-10</v>
      </c>
    </row>
    <row r="517" spans="2:5" x14ac:dyDescent="0.2">
      <c r="B517" s="535">
        <v>502</v>
      </c>
      <c r="C517" s="560">
        <f t="shared" si="21"/>
        <v>0</v>
      </c>
      <c r="D517" s="536">
        <f t="shared" si="22"/>
        <v>0</v>
      </c>
      <c r="E517" s="560">
        <f t="shared" si="23"/>
        <v>-4.1836756281554699E-10</v>
      </c>
    </row>
    <row r="518" spans="2:5" x14ac:dyDescent="0.2">
      <c r="B518" s="535">
        <v>503</v>
      </c>
      <c r="C518" s="560">
        <f t="shared" si="21"/>
        <v>0</v>
      </c>
      <c r="D518" s="536">
        <f t="shared" si="22"/>
        <v>0</v>
      </c>
      <c r="E518" s="560">
        <f t="shared" si="23"/>
        <v>-4.1836756281554699E-10</v>
      </c>
    </row>
    <row r="519" spans="2:5" x14ac:dyDescent="0.2">
      <c r="B519" s="535">
        <v>504</v>
      </c>
      <c r="C519" s="560">
        <f t="shared" si="21"/>
        <v>0</v>
      </c>
      <c r="D519" s="536">
        <f t="shared" si="22"/>
        <v>0</v>
      </c>
      <c r="E519" s="560">
        <f t="shared" si="23"/>
        <v>-4.1836756281554699E-10</v>
      </c>
    </row>
    <row r="520" spans="2:5" x14ac:dyDescent="0.2">
      <c r="B520" s="535">
        <v>505</v>
      </c>
      <c r="C520" s="560">
        <f t="shared" si="21"/>
        <v>0</v>
      </c>
      <c r="D520" s="536">
        <f t="shared" si="22"/>
        <v>0</v>
      </c>
      <c r="E520" s="560">
        <f t="shared" si="23"/>
        <v>-4.1836756281554699E-10</v>
      </c>
    </row>
    <row r="521" spans="2:5" x14ac:dyDescent="0.2">
      <c r="B521" s="535">
        <v>506</v>
      </c>
      <c r="C521" s="560">
        <f t="shared" si="21"/>
        <v>0</v>
      </c>
      <c r="D521" s="536">
        <f t="shared" si="22"/>
        <v>0</v>
      </c>
      <c r="E521" s="560">
        <f t="shared" si="23"/>
        <v>-4.1836756281554699E-10</v>
      </c>
    </row>
    <row r="522" spans="2:5" x14ac:dyDescent="0.2">
      <c r="B522" s="535">
        <v>507</v>
      </c>
      <c r="C522" s="560">
        <f t="shared" si="21"/>
        <v>0</v>
      </c>
      <c r="D522" s="536">
        <f t="shared" si="22"/>
        <v>0</v>
      </c>
      <c r="E522" s="560">
        <f t="shared" si="23"/>
        <v>-4.1836756281554699E-10</v>
      </c>
    </row>
    <row r="523" spans="2:5" x14ac:dyDescent="0.2">
      <c r="B523" s="535">
        <v>508</v>
      </c>
      <c r="C523" s="560">
        <f t="shared" si="21"/>
        <v>0</v>
      </c>
      <c r="D523" s="536">
        <f t="shared" si="22"/>
        <v>0</v>
      </c>
      <c r="E523" s="560">
        <f t="shared" si="23"/>
        <v>-4.1836756281554699E-10</v>
      </c>
    </row>
    <row r="524" spans="2:5" x14ac:dyDescent="0.2">
      <c r="B524" s="535">
        <v>509</v>
      </c>
      <c r="C524" s="560">
        <f t="shared" si="21"/>
        <v>0</v>
      </c>
      <c r="D524" s="536">
        <f t="shared" si="22"/>
        <v>0</v>
      </c>
      <c r="E524" s="560">
        <f t="shared" si="23"/>
        <v>-4.1836756281554699E-10</v>
      </c>
    </row>
    <row r="525" spans="2:5" x14ac:dyDescent="0.2">
      <c r="B525" s="535">
        <v>510</v>
      </c>
      <c r="C525" s="560">
        <f t="shared" si="21"/>
        <v>0</v>
      </c>
      <c r="D525" s="536">
        <f t="shared" si="22"/>
        <v>0</v>
      </c>
      <c r="E525" s="560">
        <f t="shared" si="23"/>
        <v>-4.1836756281554699E-10</v>
      </c>
    </row>
    <row r="526" spans="2:5" x14ac:dyDescent="0.2">
      <c r="B526" s="535">
        <v>511</v>
      </c>
      <c r="C526" s="560">
        <f t="shared" si="21"/>
        <v>0</v>
      </c>
      <c r="D526" s="536">
        <f t="shared" si="22"/>
        <v>0</v>
      </c>
      <c r="E526" s="560">
        <f t="shared" si="23"/>
        <v>-4.1836756281554699E-10</v>
      </c>
    </row>
    <row r="527" spans="2:5" x14ac:dyDescent="0.2">
      <c r="B527" s="535">
        <v>512</v>
      </c>
      <c r="C527" s="560">
        <f t="shared" si="21"/>
        <v>0</v>
      </c>
      <c r="D527" s="536">
        <f t="shared" si="22"/>
        <v>0</v>
      </c>
      <c r="E527" s="560">
        <f t="shared" si="23"/>
        <v>-4.1836756281554699E-10</v>
      </c>
    </row>
    <row r="528" spans="2:5" x14ac:dyDescent="0.2">
      <c r="B528" s="535">
        <v>513</v>
      </c>
      <c r="C528" s="560">
        <f t="shared" si="21"/>
        <v>0</v>
      </c>
      <c r="D528" s="536">
        <f t="shared" si="22"/>
        <v>0</v>
      </c>
      <c r="E528" s="560">
        <f t="shared" si="23"/>
        <v>-4.1836756281554699E-10</v>
      </c>
    </row>
    <row r="529" spans="2:5" x14ac:dyDescent="0.2">
      <c r="B529" s="535">
        <v>514</v>
      </c>
      <c r="C529" s="560">
        <f t="shared" si="21"/>
        <v>0</v>
      </c>
      <c r="D529" s="536">
        <f t="shared" si="22"/>
        <v>0</v>
      </c>
      <c r="E529" s="560">
        <f t="shared" si="23"/>
        <v>-4.1836756281554699E-10</v>
      </c>
    </row>
    <row r="530" spans="2:5" x14ac:dyDescent="0.2">
      <c r="B530" s="535">
        <v>515</v>
      </c>
      <c r="C530" s="560">
        <f t="shared" ref="C530:C593" si="24">IF(B530&gt;$C$9,,E529*$C$8/12)</f>
        <v>0</v>
      </c>
      <c r="D530" s="536">
        <f t="shared" ref="D530:D593" si="25">IF(B530&gt;$C$9,,$C$10+C530)</f>
        <v>0</v>
      </c>
      <c r="E530" s="560">
        <f t="shared" ref="E530:E593" si="26">E529+D530</f>
        <v>-4.1836756281554699E-10</v>
      </c>
    </row>
    <row r="531" spans="2:5" x14ac:dyDescent="0.2">
      <c r="B531" s="535">
        <v>516</v>
      </c>
      <c r="C531" s="560">
        <f t="shared" si="24"/>
        <v>0</v>
      </c>
      <c r="D531" s="536">
        <f t="shared" si="25"/>
        <v>0</v>
      </c>
      <c r="E531" s="560">
        <f t="shared" si="26"/>
        <v>-4.1836756281554699E-10</v>
      </c>
    </row>
    <row r="532" spans="2:5" x14ac:dyDescent="0.2">
      <c r="B532" s="535">
        <v>517</v>
      </c>
      <c r="C532" s="560">
        <f t="shared" si="24"/>
        <v>0</v>
      </c>
      <c r="D532" s="536">
        <f t="shared" si="25"/>
        <v>0</v>
      </c>
      <c r="E532" s="560">
        <f t="shared" si="26"/>
        <v>-4.1836756281554699E-10</v>
      </c>
    </row>
    <row r="533" spans="2:5" x14ac:dyDescent="0.2">
      <c r="B533" s="535">
        <v>518</v>
      </c>
      <c r="C533" s="560">
        <f t="shared" si="24"/>
        <v>0</v>
      </c>
      <c r="D533" s="536">
        <f t="shared" si="25"/>
        <v>0</v>
      </c>
      <c r="E533" s="560">
        <f t="shared" si="26"/>
        <v>-4.1836756281554699E-10</v>
      </c>
    </row>
    <row r="534" spans="2:5" x14ac:dyDescent="0.2">
      <c r="B534" s="535">
        <v>519</v>
      </c>
      <c r="C534" s="560">
        <f t="shared" si="24"/>
        <v>0</v>
      </c>
      <c r="D534" s="536">
        <f t="shared" si="25"/>
        <v>0</v>
      </c>
      <c r="E534" s="560">
        <f t="shared" si="26"/>
        <v>-4.1836756281554699E-10</v>
      </c>
    </row>
    <row r="535" spans="2:5" x14ac:dyDescent="0.2">
      <c r="B535" s="535">
        <v>520</v>
      </c>
      <c r="C535" s="560">
        <f t="shared" si="24"/>
        <v>0</v>
      </c>
      <c r="D535" s="536">
        <f t="shared" si="25"/>
        <v>0</v>
      </c>
      <c r="E535" s="560">
        <f t="shared" si="26"/>
        <v>-4.1836756281554699E-10</v>
      </c>
    </row>
    <row r="536" spans="2:5" x14ac:dyDescent="0.2">
      <c r="B536" s="535">
        <v>521</v>
      </c>
      <c r="C536" s="560">
        <f t="shared" si="24"/>
        <v>0</v>
      </c>
      <c r="D536" s="536">
        <f t="shared" si="25"/>
        <v>0</v>
      </c>
      <c r="E536" s="560">
        <f t="shared" si="26"/>
        <v>-4.1836756281554699E-10</v>
      </c>
    </row>
    <row r="537" spans="2:5" x14ac:dyDescent="0.2">
      <c r="B537" s="535">
        <v>522</v>
      </c>
      <c r="C537" s="560">
        <f t="shared" si="24"/>
        <v>0</v>
      </c>
      <c r="D537" s="536">
        <f t="shared" si="25"/>
        <v>0</v>
      </c>
      <c r="E537" s="560">
        <f t="shared" si="26"/>
        <v>-4.1836756281554699E-10</v>
      </c>
    </row>
    <row r="538" spans="2:5" x14ac:dyDescent="0.2">
      <c r="B538" s="535">
        <v>523</v>
      </c>
      <c r="C538" s="560">
        <f t="shared" si="24"/>
        <v>0</v>
      </c>
      <c r="D538" s="536">
        <f t="shared" si="25"/>
        <v>0</v>
      </c>
      <c r="E538" s="560">
        <f t="shared" si="26"/>
        <v>-4.1836756281554699E-10</v>
      </c>
    </row>
    <row r="539" spans="2:5" x14ac:dyDescent="0.2">
      <c r="B539" s="535">
        <v>524</v>
      </c>
      <c r="C539" s="560">
        <f t="shared" si="24"/>
        <v>0</v>
      </c>
      <c r="D539" s="536">
        <f t="shared" si="25"/>
        <v>0</v>
      </c>
      <c r="E539" s="560">
        <f t="shared" si="26"/>
        <v>-4.1836756281554699E-10</v>
      </c>
    </row>
    <row r="540" spans="2:5" x14ac:dyDescent="0.2">
      <c r="B540" s="535">
        <v>525</v>
      </c>
      <c r="C540" s="560">
        <f t="shared" si="24"/>
        <v>0</v>
      </c>
      <c r="D540" s="536">
        <f t="shared" si="25"/>
        <v>0</v>
      </c>
      <c r="E540" s="560">
        <f t="shared" si="26"/>
        <v>-4.1836756281554699E-10</v>
      </c>
    </row>
    <row r="541" spans="2:5" x14ac:dyDescent="0.2">
      <c r="B541" s="535">
        <v>526</v>
      </c>
      <c r="C541" s="560">
        <f t="shared" si="24"/>
        <v>0</v>
      </c>
      <c r="D541" s="536">
        <f t="shared" si="25"/>
        <v>0</v>
      </c>
      <c r="E541" s="560">
        <f t="shared" si="26"/>
        <v>-4.1836756281554699E-10</v>
      </c>
    </row>
    <row r="542" spans="2:5" x14ac:dyDescent="0.2">
      <c r="B542" s="535">
        <v>527</v>
      </c>
      <c r="C542" s="560">
        <f t="shared" si="24"/>
        <v>0</v>
      </c>
      <c r="D542" s="536">
        <f t="shared" si="25"/>
        <v>0</v>
      </c>
      <c r="E542" s="560">
        <f t="shared" si="26"/>
        <v>-4.1836756281554699E-10</v>
      </c>
    </row>
    <row r="543" spans="2:5" x14ac:dyDescent="0.2">
      <c r="B543" s="535">
        <v>528</v>
      </c>
      <c r="C543" s="560">
        <f t="shared" si="24"/>
        <v>0</v>
      </c>
      <c r="D543" s="536">
        <f t="shared" si="25"/>
        <v>0</v>
      </c>
      <c r="E543" s="560">
        <f t="shared" si="26"/>
        <v>-4.1836756281554699E-10</v>
      </c>
    </row>
    <row r="544" spans="2:5" x14ac:dyDescent="0.2">
      <c r="B544" s="535">
        <v>529</v>
      </c>
      <c r="C544" s="560">
        <f t="shared" si="24"/>
        <v>0</v>
      </c>
      <c r="D544" s="536">
        <f t="shared" si="25"/>
        <v>0</v>
      </c>
      <c r="E544" s="560">
        <f t="shared" si="26"/>
        <v>-4.1836756281554699E-10</v>
      </c>
    </row>
    <row r="545" spans="2:5" x14ac:dyDescent="0.2">
      <c r="B545" s="535">
        <v>530</v>
      </c>
      <c r="C545" s="560">
        <f t="shared" si="24"/>
        <v>0</v>
      </c>
      <c r="D545" s="536">
        <f t="shared" si="25"/>
        <v>0</v>
      </c>
      <c r="E545" s="560">
        <f t="shared" si="26"/>
        <v>-4.1836756281554699E-10</v>
      </c>
    </row>
    <row r="546" spans="2:5" x14ac:dyDescent="0.2">
      <c r="B546" s="535">
        <v>531</v>
      </c>
      <c r="C546" s="560">
        <f t="shared" si="24"/>
        <v>0</v>
      </c>
      <c r="D546" s="536">
        <f t="shared" si="25"/>
        <v>0</v>
      </c>
      <c r="E546" s="560">
        <f t="shared" si="26"/>
        <v>-4.1836756281554699E-10</v>
      </c>
    </row>
    <row r="547" spans="2:5" x14ac:dyDescent="0.2">
      <c r="B547" s="535">
        <v>532</v>
      </c>
      <c r="C547" s="560">
        <f t="shared" si="24"/>
        <v>0</v>
      </c>
      <c r="D547" s="536">
        <f t="shared" si="25"/>
        <v>0</v>
      </c>
      <c r="E547" s="560">
        <f t="shared" si="26"/>
        <v>-4.1836756281554699E-10</v>
      </c>
    </row>
    <row r="548" spans="2:5" x14ac:dyDescent="0.2">
      <c r="B548" s="535">
        <v>533</v>
      </c>
      <c r="C548" s="560">
        <f t="shared" si="24"/>
        <v>0</v>
      </c>
      <c r="D548" s="536">
        <f t="shared" si="25"/>
        <v>0</v>
      </c>
      <c r="E548" s="560">
        <f t="shared" si="26"/>
        <v>-4.1836756281554699E-10</v>
      </c>
    </row>
    <row r="549" spans="2:5" x14ac:dyDescent="0.2">
      <c r="B549" s="535">
        <v>534</v>
      </c>
      <c r="C549" s="560">
        <f t="shared" si="24"/>
        <v>0</v>
      </c>
      <c r="D549" s="536">
        <f t="shared" si="25"/>
        <v>0</v>
      </c>
      <c r="E549" s="560">
        <f t="shared" si="26"/>
        <v>-4.1836756281554699E-10</v>
      </c>
    </row>
    <row r="550" spans="2:5" x14ac:dyDescent="0.2">
      <c r="B550" s="535">
        <v>535</v>
      </c>
      <c r="C550" s="560">
        <f t="shared" si="24"/>
        <v>0</v>
      </c>
      <c r="D550" s="536">
        <f t="shared" si="25"/>
        <v>0</v>
      </c>
      <c r="E550" s="560">
        <f t="shared" si="26"/>
        <v>-4.1836756281554699E-10</v>
      </c>
    </row>
    <row r="551" spans="2:5" x14ac:dyDescent="0.2">
      <c r="B551" s="535">
        <v>536</v>
      </c>
      <c r="C551" s="560">
        <f t="shared" si="24"/>
        <v>0</v>
      </c>
      <c r="D551" s="536">
        <f t="shared" si="25"/>
        <v>0</v>
      </c>
      <c r="E551" s="560">
        <f t="shared" si="26"/>
        <v>-4.1836756281554699E-10</v>
      </c>
    </row>
    <row r="552" spans="2:5" x14ac:dyDescent="0.2">
      <c r="B552" s="535">
        <v>537</v>
      </c>
      <c r="C552" s="560">
        <f t="shared" si="24"/>
        <v>0</v>
      </c>
      <c r="D552" s="536">
        <f t="shared" si="25"/>
        <v>0</v>
      </c>
      <c r="E552" s="560">
        <f t="shared" si="26"/>
        <v>-4.1836756281554699E-10</v>
      </c>
    </row>
    <row r="553" spans="2:5" x14ac:dyDescent="0.2">
      <c r="B553" s="535">
        <v>538</v>
      </c>
      <c r="C553" s="560">
        <f t="shared" si="24"/>
        <v>0</v>
      </c>
      <c r="D553" s="536">
        <f t="shared" si="25"/>
        <v>0</v>
      </c>
      <c r="E553" s="560">
        <f t="shared" si="26"/>
        <v>-4.1836756281554699E-10</v>
      </c>
    </row>
    <row r="554" spans="2:5" x14ac:dyDescent="0.2">
      <c r="B554" s="535">
        <v>539</v>
      </c>
      <c r="C554" s="560">
        <f t="shared" si="24"/>
        <v>0</v>
      </c>
      <c r="D554" s="536">
        <f t="shared" si="25"/>
        <v>0</v>
      </c>
      <c r="E554" s="560">
        <f t="shared" si="26"/>
        <v>-4.1836756281554699E-10</v>
      </c>
    </row>
    <row r="555" spans="2:5" x14ac:dyDescent="0.2">
      <c r="B555" s="535">
        <v>540</v>
      </c>
      <c r="C555" s="560">
        <f t="shared" si="24"/>
        <v>0</v>
      </c>
      <c r="D555" s="536">
        <f t="shared" si="25"/>
        <v>0</v>
      </c>
      <c r="E555" s="560">
        <f t="shared" si="26"/>
        <v>-4.1836756281554699E-10</v>
      </c>
    </row>
    <row r="556" spans="2:5" x14ac:dyDescent="0.2">
      <c r="B556" s="535">
        <v>541</v>
      </c>
      <c r="C556" s="560">
        <f t="shared" si="24"/>
        <v>0</v>
      </c>
      <c r="D556" s="536">
        <f t="shared" si="25"/>
        <v>0</v>
      </c>
      <c r="E556" s="560">
        <f t="shared" si="26"/>
        <v>-4.1836756281554699E-10</v>
      </c>
    </row>
    <row r="557" spans="2:5" x14ac:dyDescent="0.2">
      <c r="B557" s="535">
        <v>542</v>
      </c>
      <c r="C557" s="560">
        <f t="shared" si="24"/>
        <v>0</v>
      </c>
      <c r="D557" s="536">
        <f t="shared" si="25"/>
        <v>0</v>
      </c>
      <c r="E557" s="560">
        <f t="shared" si="26"/>
        <v>-4.1836756281554699E-10</v>
      </c>
    </row>
    <row r="558" spans="2:5" x14ac:dyDescent="0.2">
      <c r="B558" s="535">
        <v>543</v>
      </c>
      <c r="C558" s="560">
        <f t="shared" si="24"/>
        <v>0</v>
      </c>
      <c r="D558" s="536">
        <f t="shared" si="25"/>
        <v>0</v>
      </c>
      <c r="E558" s="560">
        <f t="shared" si="26"/>
        <v>-4.1836756281554699E-10</v>
      </c>
    </row>
    <row r="559" spans="2:5" x14ac:dyDescent="0.2">
      <c r="B559" s="535">
        <v>544</v>
      </c>
      <c r="C559" s="560">
        <f t="shared" si="24"/>
        <v>0</v>
      </c>
      <c r="D559" s="536">
        <f t="shared" si="25"/>
        <v>0</v>
      </c>
      <c r="E559" s="560">
        <f t="shared" si="26"/>
        <v>-4.1836756281554699E-10</v>
      </c>
    </row>
    <row r="560" spans="2:5" x14ac:dyDescent="0.2">
      <c r="B560" s="535">
        <v>545</v>
      </c>
      <c r="C560" s="560">
        <f t="shared" si="24"/>
        <v>0</v>
      </c>
      <c r="D560" s="536">
        <f t="shared" si="25"/>
        <v>0</v>
      </c>
      <c r="E560" s="560">
        <f t="shared" si="26"/>
        <v>-4.1836756281554699E-10</v>
      </c>
    </row>
    <row r="561" spans="2:5" x14ac:dyDescent="0.2">
      <c r="B561" s="535">
        <v>546</v>
      </c>
      <c r="C561" s="560">
        <f t="shared" si="24"/>
        <v>0</v>
      </c>
      <c r="D561" s="536">
        <f t="shared" si="25"/>
        <v>0</v>
      </c>
      <c r="E561" s="560">
        <f t="shared" si="26"/>
        <v>-4.1836756281554699E-10</v>
      </c>
    </row>
    <row r="562" spans="2:5" x14ac:dyDescent="0.2">
      <c r="B562" s="535">
        <v>547</v>
      </c>
      <c r="C562" s="560">
        <f t="shared" si="24"/>
        <v>0</v>
      </c>
      <c r="D562" s="536">
        <f t="shared" si="25"/>
        <v>0</v>
      </c>
      <c r="E562" s="560">
        <f t="shared" si="26"/>
        <v>-4.1836756281554699E-10</v>
      </c>
    </row>
    <row r="563" spans="2:5" x14ac:dyDescent="0.2">
      <c r="B563" s="535">
        <v>548</v>
      </c>
      <c r="C563" s="560">
        <f t="shared" si="24"/>
        <v>0</v>
      </c>
      <c r="D563" s="536">
        <f t="shared" si="25"/>
        <v>0</v>
      </c>
      <c r="E563" s="560">
        <f t="shared" si="26"/>
        <v>-4.1836756281554699E-10</v>
      </c>
    </row>
    <row r="564" spans="2:5" x14ac:dyDescent="0.2">
      <c r="B564" s="535">
        <v>549</v>
      </c>
      <c r="C564" s="560">
        <f t="shared" si="24"/>
        <v>0</v>
      </c>
      <c r="D564" s="536">
        <f t="shared" si="25"/>
        <v>0</v>
      </c>
      <c r="E564" s="560">
        <f t="shared" si="26"/>
        <v>-4.1836756281554699E-10</v>
      </c>
    </row>
    <row r="565" spans="2:5" x14ac:dyDescent="0.2">
      <c r="B565" s="535">
        <v>550</v>
      </c>
      <c r="C565" s="560">
        <f t="shared" si="24"/>
        <v>0</v>
      </c>
      <c r="D565" s="536">
        <f t="shared" si="25"/>
        <v>0</v>
      </c>
      <c r="E565" s="560">
        <f t="shared" si="26"/>
        <v>-4.1836756281554699E-10</v>
      </c>
    </row>
    <row r="566" spans="2:5" x14ac:dyDescent="0.2">
      <c r="B566" s="535">
        <v>551</v>
      </c>
      <c r="C566" s="560">
        <f t="shared" si="24"/>
        <v>0</v>
      </c>
      <c r="D566" s="536">
        <f t="shared" si="25"/>
        <v>0</v>
      </c>
      <c r="E566" s="560">
        <f t="shared" si="26"/>
        <v>-4.1836756281554699E-10</v>
      </c>
    </row>
    <row r="567" spans="2:5" x14ac:dyDescent="0.2">
      <c r="B567" s="535">
        <v>552</v>
      </c>
      <c r="C567" s="560">
        <f t="shared" si="24"/>
        <v>0</v>
      </c>
      <c r="D567" s="536">
        <f t="shared" si="25"/>
        <v>0</v>
      </c>
      <c r="E567" s="560">
        <f t="shared" si="26"/>
        <v>-4.1836756281554699E-10</v>
      </c>
    </row>
    <row r="568" spans="2:5" x14ac:dyDescent="0.2">
      <c r="B568" s="535">
        <v>553</v>
      </c>
      <c r="C568" s="560">
        <f t="shared" si="24"/>
        <v>0</v>
      </c>
      <c r="D568" s="536">
        <f t="shared" si="25"/>
        <v>0</v>
      </c>
      <c r="E568" s="560">
        <f t="shared" si="26"/>
        <v>-4.1836756281554699E-10</v>
      </c>
    </row>
    <row r="569" spans="2:5" x14ac:dyDescent="0.2">
      <c r="B569" s="535">
        <v>554</v>
      </c>
      <c r="C569" s="560">
        <f t="shared" si="24"/>
        <v>0</v>
      </c>
      <c r="D569" s="536">
        <f t="shared" si="25"/>
        <v>0</v>
      </c>
      <c r="E569" s="560">
        <f t="shared" si="26"/>
        <v>-4.1836756281554699E-10</v>
      </c>
    </row>
    <row r="570" spans="2:5" x14ac:dyDescent="0.2">
      <c r="B570" s="535">
        <v>555</v>
      </c>
      <c r="C570" s="560">
        <f t="shared" si="24"/>
        <v>0</v>
      </c>
      <c r="D570" s="536">
        <f t="shared" si="25"/>
        <v>0</v>
      </c>
      <c r="E570" s="560">
        <f t="shared" si="26"/>
        <v>-4.1836756281554699E-10</v>
      </c>
    </row>
    <row r="571" spans="2:5" x14ac:dyDescent="0.2">
      <c r="B571" s="535">
        <v>556</v>
      </c>
      <c r="C571" s="560">
        <f t="shared" si="24"/>
        <v>0</v>
      </c>
      <c r="D571" s="536">
        <f t="shared" si="25"/>
        <v>0</v>
      </c>
      <c r="E571" s="560">
        <f t="shared" si="26"/>
        <v>-4.1836756281554699E-10</v>
      </c>
    </row>
    <row r="572" spans="2:5" x14ac:dyDescent="0.2">
      <c r="B572" s="535">
        <v>557</v>
      </c>
      <c r="C572" s="560">
        <f t="shared" si="24"/>
        <v>0</v>
      </c>
      <c r="D572" s="536">
        <f t="shared" si="25"/>
        <v>0</v>
      </c>
      <c r="E572" s="560">
        <f t="shared" si="26"/>
        <v>-4.1836756281554699E-10</v>
      </c>
    </row>
    <row r="573" spans="2:5" x14ac:dyDescent="0.2">
      <c r="B573" s="535">
        <v>558</v>
      </c>
      <c r="C573" s="560">
        <f t="shared" si="24"/>
        <v>0</v>
      </c>
      <c r="D573" s="536">
        <f t="shared" si="25"/>
        <v>0</v>
      </c>
      <c r="E573" s="560">
        <f t="shared" si="26"/>
        <v>-4.1836756281554699E-10</v>
      </c>
    </row>
    <row r="574" spans="2:5" x14ac:dyDescent="0.2">
      <c r="B574" s="535">
        <v>559</v>
      </c>
      <c r="C574" s="560">
        <f t="shared" si="24"/>
        <v>0</v>
      </c>
      <c r="D574" s="536">
        <f t="shared" si="25"/>
        <v>0</v>
      </c>
      <c r="E574" s="560">
        <f t="shared" si="26"/>
        <v>-4.1836756281554699E-10</v>
      </c>
    </row>
    <row r="575" spans="2:5" x14ac:dyDescent="0.2">
      <c r="B575" s="535">
        <v>560</v>
      </c>
      <c r="C575" s="560">
        <f t="shared" si="24"/>
        <v>0</v>
      </c>
      <c r="D575" s="536">
        <f t="shared" si="25"/>
        <v>0</v>
      </c>
      <c r="E575" s="560">
        <f t="shared" si="26"/>
        <v>-4.1836756281554699E-10</v>
      </c>
    </row>
    <row r="576" spans="2:5" x14ac:dyDescent="0.2">
      <c r="B576" s="535">
        <v>561</v>
      </c>
      <c r="C576" s="560">
        <f t="shared" si="24"/>
        <v>0</v>
      </c>
      <c r="D576" s="536">
        <f t="shared" si="25"/>
        <v>0</v>
      </c>
      <c r="E576" s="560">
        <f t="shared" si="26"/>
        <v>-4.1836756281554699E-10</v>
      </c>
    </row>
    <row r="577" spans="2:5" x14ac:dyDescent="0.2">
      <c r="B577" s="535">
        <v>562</v>
      </c>
      <c r="C577" s="560">
        <f t="shared" si="24"/>
        <v>0</v>
      </c>
      <c r="D577" s="536">
        <f t="shared" si="25"/>
        <v>0</v>
      </c>
      <c r="E577" s="560">
        <f t="shared" si="26"/>
        <v>-4.1836756281554699E-10</v>
      </c>
    </row>
    <row r="578" spans="2:5" x14ac:dyDescent="0.2">
      <c r="B578" s="535">
        <v>563</v>
      </c>
      <c r="C578" s="560">
        <f t="shared" si="24"/>
        <v>0</v>
      </c>
      <c r="D578" s="536">
        <f t="shared" si="25"/>
        <v>0</v>
      </c>
      <c r="E578" s="560">
        <f t="shared" si="26"/>
        <v>-4.1836756281554699E-10</v>
      </c>
    </row>
    <row r="579" spans="2:5" x14ac:dyDescent="0.2">
      <c r="B579" s="535">
        <v>564</v>
      </c>
      <c r="C579" s="560">
        <f t="shared" si="24"/>
        <v>0</v>
      </c>
      <c r="D579" s="536">
        <f t="shared" si="25"/>
        <v>0</v>
      </c>
      <c r="E579" s="560">
        <f t="shared" si="26"/>
        <v>-4.1836756281554699E-10</v>
      </c>
    </row>
    <row r="580" spans="2:5" x14ac:dyDescent="0.2">
      <c r="B580" s="535">
        <v>565</v>
      </c>
      <c r="C580" s="560">
        <f t="shared" si="24"/>
        <v>0</v>
      </c>
      <c r="D580" s="536">
        <f t="shared" si="25"/>
        <v>0</v>
      </c>
      <c r="E580" s="560">
        <f t="shared" si="26"/>
        <v>-4.1836756281554699E-10</v>
      </c>
    </row>
    <row r="581" spans="2:5" x14ac:dyDescent="0.2">
      <c r="B581" s="535">
        <v>566</v>
      </c>
      <c r="C581" s="560">
        <f t="shared" si="24"/>
        <v>0</v>
      </c>
      <c r="D581" s="536">
        <f t="shared" si="25"/>
        <v>0</v>
      </c>
      <c r="E581" s="560">
        <f t="shared" si="26"/>
        <v>-4.1836756281554699E-10</v>
      </c>
    </row>
    <row r="582" spans="2:5" x14ac:dyDescent="0.2">
      <c r="B582" s="535">
        <v>567</v>
      </c>
      <c r="C582" s="560">
        <f t="shared" si="24"/>
        <v>0</v>
      </c>
      <c r="D582" s="536">
        <f t="shared" si="25"/>
        <v>0</v>
      </c>
      <c r="E582" s="560">
        <f t="shared" si="26"/>
        <v>-4.1836756281554699E-10</v>
      </c>
    </row>
    <row r="583" spans="2:5" x14ac:dyDescent="0.2">
      <c r="B583" s="535">
        <v>568</v>
      </c>
      <c r="C583" s="560">
        <f t="shared" si="24"/>
        <v>0</v>
      </c>
      <c r="D583" s="536">
        <f t="shared" si="25"/>
        <v>0</v>
      </c>
      <c r="E583" s="560">
        <f t="shared" si="26"/>
        <v>-4.1836756281554699E-10</v>
      </c>
    </row>
    <row r="584" spans="2:5" x14ac:dyDescent="0.2">
      <c r="B584" s="535">
        <v>569</v>
      </c>
      <c r="C584" s="560">
        <f t="shared" si="24"/>
        <v>0</v>
      </c>
      <c r="D584" s="536">
        <f t="shared" si="25"/>
        <v>0</v>
      </c>
      <c r="E584" s="560">
        <f t="shared" si="26"/>
        <v>-4.1836756281554699E-10</v>
      </c>
    </row>
    <row r="585" spans="2:5" x14ac:dyDescent="0.2">
      <c r="B585" s="535">
        <v>570</v>
      </c>
      <c r="C585" s="560">
        <f t="shared" si="24"/>
        <v>0</v>
      </c>
      <c r="D585" s="536">
        <f t="shared" si="25"/>
        <v>0</v>
      </c>
      <c r="E585" s="560">
        <f t="shared" si="26"/>
        <v>-4.1836756281554699E-10</v>
      </c>
    </row>
    <row r="586" spans="2:5" x14ac:dyDescent="0.2">
      <c r="B586" s="535">
        <v>571</v>
      </c>
      <c r="C586" s="560">
        <f t="shared" si="24"/>
        <v>0</v>
      </c>
      <c r="D586" s="536">
        <f t="shared" si="25"/>
        <v>0</v>
      </c>
      <c r="E586" s="560">
        <f t="shared" si="26"/>
        <v>-4.1836756281554699E-10</v>
      </c>
    </row>
    <row r="587" spans="2:5" x14ac:dyDescent="0.2">
      <c r="B587" s="535">
        <v>572</v>
      </c>
      <c r="C587" s="560">
        <f t="shared" si="24"/>
        <v>0</v>
      </c>
      <c r="D587" s="536">
        <f t="shared" si="25"/>
        <v>0</v>
      </c>
      <c r="E587" s="560">
        <f t="shared" si="26"/>
        <v>-4.1836756281554699E-10</v>
      </c>
    </row>
    <row r="588" spans="2:5" x14ac:dyDescent="0.2">
      <c r="B588" s="535">
        <v>573</v>
      </c>
      <c r="C588" s="560">
        <f t="shared" si="24"/>
        <v>0</v>
      </c>
      <c r="D588" s="536">
        <f t="shared" si="25"/>
        <v>0</v>
      </c>
      <c r="E588" s="560">
        <f t="shared" si="26"/>
        <v>-4.1836756281554699E-10</v>
      </c>
    </row>
    <row r="589" spans="2:5" x14ac:dyDescent="0.2">
      <c r="B589" s="535">
        <v>574</v>
      </c>
      <c r="C589" s="560">
        <f t="shared" si="24"/>
        <v>0</v>
      </c>
      <c r="D589" s="536">
        <f t="shared" si="25"/>
        <v>0</v>
      </c>
      <c r="E589" s="560">
        <f t="shared" si="26"/>
        <v>-4.1836756281554699E-10</v>
      </c>
    </row>
    <row r="590" spans="2:5" x14ac:dyDescent="0.2">
      <c r="B590" s="535">
        <v>575</v>
      </c>
      <c r="C590" s="560">
        <f t="shared" si="24"/>
        <v>0</v>
      </c>
      <c r="D590" s="536">
        <f t="shared" si="25"/>
        <v>0</v>
      </c>
      <c r="E590" s="560">
        <f t="shared" si="26"/>
        <v>-4.1836756281554699E-10</v>
      </c>
    </row>
    <row r="591" spans="2:5" x14ac:dyDescent="0.2">
      <c r="B591" s="535">
        <v>576</v>
      </c>
      <c r="C591" s="560">
        <f t="shared" si="24"/>
        <v>0</v>
      </c>
      <c r="D591" s="536">
        <f t="shared" si="25"/>
        <v>0</v>
      </c>
      <c r="E591" s="560">
        <f t="shared" si="26"/>
        <v>-4.1836756281554699E-10</v>
      </c>
    </row>
    <row r="592" spans="2:5" x14ac:dyDescent="0.2">
      <c r="B592" s="535">
        <v>577</v>
      </c>
      <c r="C592" s="560">
        <f t="shared" si="24"/>
        <v>0</v>
      </c>
      <c r="D592" s="536">
        <f t="shared" si="25"/>
        <v>0</v>
      </c>
      <c r="E592" s="560">
        <f t="shared" si="26"/>
        <v>-4.1836756281554699E-10</v>
      </c>
    </row>
    <row r="593" spans="2:5" x14ac:dyDescent="0.2">
      <c r="B593" s="535">
        <v>578</v>
      </c>
      <c r="C593" s="560">
        <f t="shared" si="24"/>
        <v>0</v>
      </c>
      <c r="D593" s="536">
        <f t="shared" si="25"/>
        <v>0</v>
      </c>
      <c r="E593" s="560">
        <f t="shared" si="26"/>
        <v>-4.1836756281554699E-10</v>
      </c>
    </row>
    <row r="594" spans="2:5" x14ac:dyDescent="0.2">
      <c r="B594" s="535">
        <v>579</v>
      </c>
      <c r="C594" s="560">
        <f t="shared" ref="C594:C657" si="27">IF(B594&gt;$C$9,,E593*$C$8/12)</f>
        <v>0</v>
      </c>
      <c r="D594" s="536">
        <f t="shared" ref="D594:D657" si="28">IF(B594&gt;$C$9,,$C$10+C594)</f>
        <v>0</v>
      </c>
      <c r="E594" s="560">
        <f t="shared" ref="E594:E657" si="29">E593+D594</f>
        <v>-4.1836756281554699E-10</v>
      </c>
    </row>
    <row r="595" spans="2:5" x14ac:dyDescent="0.2">
      <c r="B595" s="535">
        <v>580</v>
      </c>
      <c r="C595" s="560">
        <f t="shared" si="27"/>
        <v>0</v>
      </c>
      <c r="D595" s="536">
        <f t="shared" si="28"/>
        <v>0</v>
      </c>
      <c r="E595" s="560">
        <f t="shared" si="29"/>
        <v>-4.1836756281554699E-10</v>
      </c>
    </row>
    <row r="596" spans="2:5" x14ac:dyDescent="0.2">
      <c r="B596" s="535">
        <v>581</v>
      </c>
      <c r="C596" s="560">
        <f t="shared" si="27"/>
        <v>0</v>
      </c>
      <c r="D596" s="536">
        <f t="shared" si="28"/>
        <v>0</v>
      </c>
      <c r="E596" s="560">
        <f t="shared" si="29"/>
        <v>-4.1836756281554699E-10</v>
      </c>
    </row>
    <row r="597" spans="2:5" x14ac:dyDescent="0.2">
      <c r="B597" s="535">
        <v>582</v>
      </c>
      <c r="C597" s="560">
        <f t="shared" si="27"/>
        <v>0</v>
      </c>
      <c r="D597" s="536">
        <f t="shared" si="28"/>
        <v>0</v>
      </c>
      <c r="E597" s="560">
        <f t="shared" si="29"/>
        <v>-4.1836756281554699E-10</v>
      </c>
    </row>
    <row r="598" spans="2:5" x14ac:dyDescent="0.2">
      <c r="B598" s="535">
        <v>583</v>
      </c>
      <c r="C598" s="560">
        <f t="shared" si="27"/>
        <v>0</v>
      </c>
      <c r="D598" s="536">
        <f t="shared" si="28"/>
        <v>0</v>
      </c>
      <c r="E598" s="560">
        <f t="shared" si="29"/>
        <v>-4.1836756281554699E-10</v>
      </c>
    </row>
    <row r="599" spans="2:5" x14ac:dyDescent="0.2">
      <c r="B599" s="535">
        <v>584</v>
      </c>
      <c r="C599" s="560">
        <f t="shared" si="27"/>
        <v>0</v>
      </c>
      <c r="D599" s="536">
        <f t="shared" si="28"/>
        <v>0</v>
      </c>
      <c r="E599" s="560">
        <f t="shared" si="29"/>
        <v>-4.1836756281554699E-10</v>
      </c>
    </row>
    <row r="600" spans="2:5" x14ac:dyDescent="0.2">
      <c r="B600" s="535">
        <v>585</v>
      </c>
      <c r="C600" s="560">
        <f t="shared" si="27"/>
        <v>0</v>
      </c>
      <c r="D600" s="536">
        <f t="shared" si="28"/>
        <v>0</v>
      </c>
      <c r="E600" s="560">
        <f t="shared" si="29"/>
        <v>-4.1836756281554699E-10</v>
      </c>
    </row>
    <row r="601" spans="2:5" x14ac:dyDescent="0.2">
      <c r="B601" s="535">
        <v>586</v>
      </c>
      <c r="C601" s="560">
        <f t="shared" si="27"/>
        <v>0</v>
      </c>
      <c r="D601" s="536">
        <f t="shared" si="28"/>
        <v>0</v>
      </c>
      <c r="E601" s="560">
        <f t="shared" si="29"/>
        <v>-4.1836756281554699E-10</v>
      </c>
    </row>
    <row r="602" spans="2:5" x14ac:dyDescent="0.2">
      <c r="B602" s="535">
        <v>587</v>
      </c>
      <c r="C602" s="560">
        <f t="shared" si="27"/>
        <v>0</v>
      </c>
      <c r="D602" s="536">
        <f t="shared" si="28"/>
        <v>0</v>
      </c>
      <c r="E602" s="560">
        <f t="shared" si="29"/>
        <v>-4.1836756281554699E-10</v>
      </c>
    </row>
    <row r="603" spans="2:5" x14ac:dyDescent="0.2">
      <c r="B603" s="535">
        <v>588</v>
      </c>
      <c r="C603" s="560">
        <f t="shared" si="27"/>
        <v>0</v>
      </c>
      <c r="D603" s="536">
        <f t="shared" si="28"/>
        <v>0</v>
      </c>
      <c r="E603" s="560">
        <f t="shared" si="29"/>
        <v>-4.1836756281554699E-10</v>
      </c>
    </row>
    <row r="604" spans="2:5" x14ac:dyDescent="0.2">
      <c r="B604" s="535">
        <v>589</v>
      </c>
      <c r="C604" s="560">
        <f t="shared" si="27"/>
        <v>0</v>
      </c>
      <c r="D604" s="536">
        <f t="shared" si="28"/>
        <v>0</v>
      </c>
      <c r="E604" s="560">
        <f t="shared" si="29"/>
        <v>-4.1836756281554699E-10</v>
      </c>
    </row>
    <row r="605" spans="2:5" x14ac:dyDescent="0.2">
      <c r="B605" s="535">
        <v>590</v>
      </c>
      <c r="C605" s="560">
        <f t="shared" si="27"/>
        <v>0</v>
      </c>
      <c r="D605" s="536">
        <f t="shared" si="28"/>
        <v>0</v>
      </c>
      <c r="E605" s="560">
        <f t="shared" si="29"/>
        <v>-4.1836756281554699E-10</v>
      </c>
    </row>
    <row r="606" spans="2:5" x14ac:dyDescent="0.2">
      <c r="B606" s="535">
        <v>591</v>
      </c>
      <c r="C606" s="560">
        <f t="shared" si="27"/>
        <v>0</v>
      </c>
      <c r="D606" s="536">
        <f t="shared" si="28"/>
        <v>0</v>
      </c>
      <c r="E606" s="560">
        <f t="shared" si="29"/>
        <v>-4.1836756281554699E-10</v>
      </c>
    </row>
    <row r="607" spans="2:5" x14ac:dyDescent="0.2">
      <c r="B607" s="535">
        <v>592</v>
      </c>
      <c r="C607" s="560">
        <f t="shared" si="27"/>
        <v>0</v>
      </c>
      <c r="D607" s="536">
        <f t="shared" si="28"/>
        <v>0</v>
      </c>
      <c r="E607" s="560">
        <f t="shared" si="29"/>
        <v>-4.1836756281554699E-10</v>
      </c>
    </row>
    <row r="608" spans="2:5" x14ac:dyDescent="0.2">
      <c r="B608" s="535">
        <v>593</v>
      </c>
      <c r="C608" s="560">
        <f t="shared" si="27"/>
        <v>0</v>
      </c>
      <c r="D608" s="536">
        <f t="shared" si="28"/>
        <v>0</v>
      </c>
      <c r="E608" s="560">
        <f t="shared" si="29"/>
        <v>-4.1836756281554699E-10</v>
      </c>
    </row>
    <row r="609" spans="2:5" x14ac:dyDescent="0.2">
      <c r="B609" s="535">
        <v>594</v>
      </c>
      <c r="C609" s="560">
        <f t="shared" si="27"/>
        <v>0</v>
      </c>
      <c r="D609" s="536">
        <f t="shared" si="28"/>
        <v>0</v>
      </c>
      <c r="E609" s="560">
        <f t="shared" si="29"/>
        <v>-4.1836756281554699E-10</v>
      </c>
    </row>
    <row r="610" spans="2:5" x14ac:dyDescent="0.2">
      <c r="B610" s="535">
        <v>595</v>
      </c>
      <c r="C610" s="560">
        <f t="shared" si="27"/>
        <v>0</v>
      </c>
      <c r="D610" s="536">
        <f t="shared" si="28"/>
        <v>0</v>
      </c>
      <c r="E610" s="560">
        <f t="shared" si="29"/>
        <v>-4.1836756281554699E-10</v>
      </c>
    </row>
    <row r="611" spans="2:5" x14ac:dyDescent="0.2">
      <c r="B611" s="535">
        <v>596</v>
      </c>
      <c r="C611" s="560">
        <f t="shared" si="27"/>
        <v>0</v>
      </c>
      <c r="D611" s="536">
        <f t="shared" si="28"/>
        <v>0</v>
      </c>
      <c r="E611" s="560">
        <f t="shared" si="29"/>
        <v>-4.1836756281554699E-10</v>
      </c>
    </row>
    <row r="612" spans="2:5" x14ac:dyDescent="0.2">
      <c r="B612" s="535">
        <v>597</v>
      </c>
      <c r="C612" s="560">
        <f t="shared" si="27"/>
        <v>0</v>
      </c>
      <c r="D612" s="536">
        <f t="shared" si="28"/>
        <v>0</v>
      </c>
      <c r="E612" s="560">
        <f t="shared" si="29"/>
        <v>-4.1836756281554699E-10</v>
      </c>
    </row>
    <row r="613" spans="2:5" x14ac:dyDescent="0.2">
      <c r="B613" s="535">
        <v>598</v>
      </c>
      <c r="C613" s="560">
        <f t="shared" si="27"/>
        <v>0</v>
      </c>
      <c r="D613" s="536">
        <f t="shared" si="28"/>
        <v>0</v>
      </c>
      <c r="E613" s="560">
        <f t="shared" si="29"/>
        <v>-4.1836756281554699E-10</v>
      </c>
    </row>
    <row r="614" spans="2:5" x14ac:dyDescent="0.2">
      <c r="B614" s="535">
        <v>599</v>
      </c>
      <c r="C614" s="560">
        <f t="shared" si="27"/>
        <v>0</v>
      </c>
      <c r="D614" s="536">
        <f t="shared" si="28"/>
        <v>0</v>
      </c>
      <c r="E614" s="560">
        <f t="shared" si="29"/>
        <v>-4.1836756281554699E-10</v>
      </c>
    </row>
    <row r="615" spans="2:5" x14ac:dyDescent="0.2">
      <c r="B615" s="535">
        <v>600</v>
      </c>
      <c r="C615" s="560">
        <f t="shared" si="27"/>
        <v>0</v>
      </c>
      <c r="D615" s="536">
        <f t="shared" si="28"/>
        <v>0</v>
      </c>
      <c r="E615" s="560">
        <f t="shared" si="29"/>
        <v>-4.1836756281554699E-10</v>
      </c>
    </row>
    <row r="616" spans="2:5" x14ac:dyDescent="0.2">
      <c r="B616" s="535">
        <v>601</v>
      </c>
      <c r="C616" s="560">
        <f t="shared" si="27"/>
        <v>0</v>
      </c>
      <c r="D616" s="536">
        <f t="shared" si="28"/>
        <v>0</v>
      </c>
      <c r="E616" s="560">
        <f t="shared" si="29"/>
        <v>-4.1836756281554699E-10</v>
      </c>
    </row>
    <row r="617" spans="2:5" x14ac:dyDescent="0.2">
      <c r="B617" s="535">
        <v>602</v>
      </c>
      <c r="C617" s="560">
        <f t="shared" si="27"/>
        <v>0</v>
      </c>
      <c r="D617" s="536">
        <f t="shared" si="28"/>
        <v>0</v>
      </c>
      <c r="E617" s="560">
        <f t="shared" si="29"/>
        <v>-4.1836756281554699E-10</v>
      </c>
    </row>
    <row r="618" spans="2:5" x14ac:dyDescent="0.2">
      <c r="B618" s="535">
        <v>603</v>
      </c>
      <c r="C618" s="560">
        <f t="shared" si="27"/>
        <v>0</v>
      </c>
      <c r="D618" s="536">
        <f t="shared" si="28"/>
        <v>0</v>
      </c>
      <c r="E618" s="560">
        <f t="shared" si="29"/>
        <v>-4.1836756281554699E-10</v>
      </c>
    </row>
    <row r="619" spans="2:5" x14ac:dyDescent="0.2">
      <c r="B619" s="535">
        <v>604</v>
      </c>
      <c r="C619" s="560">
        <f t="shared" si="27"/>
        <v>0</v>
      </c>
      <c r="D619" s="536">
        <f t="shared" si="28"/>
        <v>0</v>
      </c>
      <c r="E619" s="560">
        <f t="shared" si="29"/>
        <v>-4.1836756281554699E-10</v>
      </c>
    </row>
    <row r="620" spans="2:5" x14ac:dyDescent="0.2">
      <c r="B620" s="535">
        <v>605</v>
      </c>
      <c r="C620" s="560">
        <f t="shared" si="27"/>
        <v>0</v>
      </c>
      <c r="D620" s="536">
        <f t="shared" si="28"/>
        <v>0</v>
      </c>
      <c r="E620" s="560">
        <f t="shared" si="29"/>
        <v>-4.1836756281554699E-10</v>
      </c>
    </row>
    <row r="621" spans="2:5" x14ac:dyDescent="0.2">
      <c r="B621" s="535">
        <v>606</v>
      </c>
      <c r="C621" s="560">
        <f t="shared" si="27"/>
        <v>0</v>
      </c>
      <c r="D621" s="536">
        <f t="shared" si="28"/>
        <v>0</v>
      </c>
      <c r="E621" s="560">
        <f t="shared" si="29"/>
        <v>-4.1836756281554699E-10</v>
      </c>
    </row>
    <row r="622" spans="2:5" x14ac:dyDescent="0.2">
      <c r="B622" s="535">
        <v>607</v>
      </c>
      <c r="C622" s="560">
        <f t="shared" si="27"/>
        <v>0</v>
      </c>
      <c r="D622" s="536">
        <f t="shared" si="28"/>
        <v>0</v>
      </c>
      <c r="E622" s="560">
        <f t="shared" si="29"/>
        <v>-4.1836756281554699E-10</v>
      </c>
    </row>
    <row r="623" spans="2:5" x14ac:dyDescent="0.2">
      <c r="B623" s="535">
        <v>608</v>
      </c>
      <c r="C623" s="560">
        <f t="shared" si="27"/>
        <v>0</v>
      </c>
      <c r="D623" s="536">
        <f t="shared" si="28"/>
        <v>0</v>
      </c>
      <c r="E623" s="560">
        <f t="shared" si="29"/>
        <v>-4.1836756281554699E-10</v>
      </c>
    </row>
    <row r="624" spans="2:5" x14ac:dyDescent="0.2">
      <c r="B624" s="535">
        <v>609</v>
      </c>
      <c r="C624" s="560">
        <f t="shared" si="27"/>
        <v>0</v>
      </c>
      <c r="D624" s="536">
        <f t="shared" si="28"/>
        <v>0</v>
      </c>
      <c r="E624" s="560">
        <f t="shared" si="29"/>
        <v>-4.1836756281554699E-10</v>
      </c>
    </row>
    <row r="625" spans="2:5" x14ac:dyDescent="0.2">
      <c r="B625" s="535">
        <v>610</v>
      </c>
      <c r="C625" s="560">
        <f t="shared" si="27"/>
        <v>0</v>
      </c>
      <c r="D625" s="536">
        <f t="shared" si="28"/>
        <v>0</v>
      </c>
      <c r="E625" s="560">
        <f t="shared" si="29"/>
        <v>-4.1836756281554699E-10</v>
      </c>
    </row>
    <row r="626" spans="2:5" x14ac:dyDescent="0.2">
      <c r="B626" s="535">
        <v>611</v>
      </c>
      <c r="C626" s="560">
        <f t="shared" si="27"/>
        <v>0</v>
      </c>
      <c r="D626" s="536">
        <f t="shared" si="28"/>
        <v>0</v>
      </c>
      <c r="E626" s="560">
        <f t="shared" si="29"/>
        <v>-4.1836756281554699E-10</v>
      </c>
    </row>
    <row r="627" spans="2:5" x14ac:dyDescent="0.2">
      <c r="B627" s="535">
        <v>612</v>
      </c>
      <c r="C627" s="560">
        <f t="shared" si="27"/>
        <v>0</v>
      </c>
      <c r="D627" s="536">
        <f t="shared" si="28"/>
        <v>0</v>
      </c>
      <c r="E627" s="560">
        <f t="shared" si="29"/>
        <v>-4.1836756281554699E-10</v>
      </c>
    </row>
    <row r="628" spans="2:5" x14ac:dyDescent="0.2">
      <c r="B628" s="535">
        <v>613</v>
      </c>
      <c r="C628" s="560">
        <f t="shared" si="27"/>
        <v>0</v>
      </c>
      <c r="D628" s="536">
        <f t="shared" si="28"/>
        <v>0</v>
      </c>
      <c r="E628" s="560">
        <f t="shared" si="29"/>
        <v>-4.1836756281554699E-10</v>
      </c>
    </row>
    <row r="629" spans="2:5" x14ac:dyDescent="0.2">
      <c r="B629" s="535">
        <v>614</v>
      </c>
      <c r="C629" s="560">
        <f t="shared" si="27"/>
        <v>0</v>
      </c>
      <c r="D629" s="536">
        <f t="shared" si="28"/>
        <v>0</v>
      </c>
      <c r="E629" s="560">
        <f t="shared" si="29"/>
        <v>-4.1836756281554699E-10</v>
      </c>
    </row>
    <row r="630" spans="2:5" x14ac:dyDescent="0.2">
      <c r="B630" s="535">
        <v>615</v>
      </c>
      <c r="C630" s="560">
        <f t="shared" si="27"/>
        <v>0</v>
      </c>
      <c r="D630" s="536">
        <f t="shared" si="28"/>
        <v>0</v>
      </c>
      <c r="E630" s="560">
        <f t="shared" si="29"/>
        <v>-4.1836756281554699E-10</v>
      </c>
    </row>
    <row r="631" spans="2:5" x14ac:dyDescent="0.2">
      <c r="B631" s="535">
        <v>616</v>
      </c>
      <c r="C631" s="560">
        <f t="shared" si="27"/>
        <v>0</v>
      </c>
      <c r="D631" s="536">
        <f t="shared" si="28"/>
        <v>0</v>
      </c>
      <c r="E631" s="560">
        <f t="shared" si="29"/>
        <v>-4.1836756281554699E-10</v>
      </c>
    </row>
    <row r="632" spans="2:5" x14ac:dyDescent="0.2">
      <c r="B632" s="535">
        <v>617</v>
      </c>
      <c r="C632" s="560">
        <f t="shared" si="27"/>
        <v>0</v>
      </c>
      <c r="D632" s="536">
        <f t="shared" si="28"/>
        <v>0</v>
      </c>
      <c r="E632" s="560">
        <f t="shared" si="29"/>
        <v>-4.1836756281554699E-10</v>
      </c>
    </row>
    <row r="633" spans="2:5" x14ac:dyDescent="0.2">
      <c r="B633" s="535">
        <v>618</v>
      </c>
      <c r="C633" s="560">
        <f t="shared" si="27"/>
        <v>0</v>
      </c>
      <c r="D633" s="536">
        <f t="shared" si="28"/>
        <v>0</v>
      </c>
      <c r="E633" s="560">
        <f t="shared" si="29"/>
        <v>-4.1836756281554699E-10</v>
      </c>
    </row>
    <row r="634" spans="2:5" x14ac:dyDescent="0.2">
      <c r="B634" s="535">
        <v>619</v>
      </c>
      <c r="C634" s="560">
        <f t="shared" si="27"/>
        <v>0</v>
      </c>
      <c r="D634" s="536">
        <f t="shared" si="28"/>
        <v>0</v>
      </c>
      <c r="E634" s="560">
        <f t="shared" si="29"/>
        <v>-4.1836756281554699E-10</v>
      </c>
    </row>
    <row r="635" spans="2:5" x14ac:dyDescent="0.2">
      <c r="B635" s="535">
        <v>620</v>
      </c>
      <c r="C635" s="560">
        <f t="shared" si="27"/>
        <v>0</v>
      </c>
      <c r="D635" s="536">
        <f t="shared" si="28"/>
        <v>0</v>
      </c>
      <c r="E635" s="560">
        <f t="shared" si="29"/>
        <v>-4.1836756281554699E-10</v>
      </c>
    </row>
    <row r="636" spans="2:5" x14ac:dyDescent="0.2">
      <c r="B636" s="535">
        <v>621</v>
      </c>
      <c r="C636" s="560">
        <f t="shared" si="27"/>
        <v>0</v>
      </c>
      <c r="D636" s="536">
        <f t="shared" si="28"/>
        <v>0</v>
      </c>
      <c r="E636" s="560">
        <f t="shared" si="29"/>
        <v>-4.1836756281554699E-10</v>
      </c>
    </row>
    <row r="637" spans="2:5" x14ac:dyDescent="0.2">
      <c r="B637" s="535">
        <v>622</v>
      </c>
      <c r="C637" s="560">
        <f t="shared" si="27"/>
        <v>0</v>
      </c>
      <c r="D637" s="536">
        <f t="shared" si="28"/>
        <v>0</v>
      </c>
      <c r="E637" s="560">
        <f t="shared" si="29"/>
        <v>-4.1836756281554699E-10</v>
      </c>
    </row>
    <row r="638" spans="2:5" x14ac:dyDescent="0.2">
      <c r="B638" s="535">
        <v>623</v>
      </c>
      <c r="C638" s="560">
        <f t="shared" si="27"/>
        <v>0</v>
      </c>
      <c r="D638" s="536">
        <f t="shared" si="28"/>
        <v>0</v>
      </c>
      <c r="E638" s="560">
        <f t="shared" si="29"/>
        <v>-4.1836756281554699E-10</v>
      </c>
    </row>
    <row r="639" spans="2:5" x14ac:dyDescent="0.2">
      <c r="B639" s="535">
        <v>624</v>
      </c>
      <c r="C639" s="560">
        <f t="shared" si="27"/>
        <v>0</v>
      </c>
      <c r="D639" s="536">
        <f t="shared" si="28"/>
        <v>0</v>
      </c>
      <c r="E639" s="560">
        <f t="shared" si="29"/>
        <v>-4.1836756281554699E-10</v>
      </c>
    </row>
    <row r="640" spans="2:5" x14ac:dyDescent="0.2">
      <c r="B640" s="535">
        <v>625</v>
      </c>
      <c r="C640" s="560">
        <f t="shared" si="27"/>
        <v>0</v>
      </c>
      <c r="D640" s="536">
        <f t="shared" si="28"/>
        <v>0</v>
      </c>
      <c r="E640" s="560">
        <f t="shared" si="29"/>
        <v>-4.1836756281554699E-10</v>
      </c>
    </row>
    <row r="641" spans="2:5" x14ac:dyDescent="0.2">
      <c r="B641" s="535">
        <v>626</v>
      </c>
      <c r="C641" s="560">
        <f t="shared" si="27"/>
        <v>0</v>
      </c>
      <c r="D641" s="536">
        <f t="shared" si="28"/>
        <v>0</v>
      </c>
      <c r="E641" s="560">
        <f t="shared" si="29"/>
        <v>-4.1836756281554699E-10</v>
      </c>
    </row>
    <row r="642" spans="2:5" x14ac:dyDescent="0.2">
      <c r="B642" s="535">
        <v>627</v>
      </c>
      <c r="C642" s="560">
        <f t="shared" si="27"/>
        <v>0</v>
      </c>
      <c r="D642" s="536">
        <f t="shared" si="28"/>
        <v>0</v>
      </c>
      <c r="E642" s="560">
        <f t="shared" si="29"/>
        <v>-4.1836756281554699E-10</v>
      </c>
    </row>
    <row r="643" spans="2:5" x14ac:dyDescent="0.2">
      <c r="B643" s="535">
        <v>628</v>
      </c>
      <c r="C643" s="560">
        <f t="shared" si="27"/>
        <v>0</v>
      </c>
      <c r="D643" s="536">
        <f t="shared" si="28"/>
        <v>0</v>
      </c>
      <c r="E643" s="560">
        <f t="shared" si="29"/>
        <v>-4.1836756281554699E-10</v>
      </c>
    </row>
    <row r="644" spans="2:5" x14ac:dyDescent="0.2">
      <c r="B644" s="535">
        <v>629</v>
      </c>
      <c r="C644" s="560">
        <f t="shared" si="27"/>
        <v>0</v>
      </c>
      <c r="D644" s="536">
        <f t="shared" si="28"/>
        <v>0</v>
      </c>
      <c r="E644" s="560">
        <f t="shared" si="29"/>
        <v>-4.1836756281554699E-10</v>
      </c>
    </row>
    <row r="645" spans="2:5" x14ac:dyDescent="0.2">
      <c r="B645" s="535">
        <v>630</v>
      </c>
      <c r="C645" s="560">
        <f t="shared" si="27"/>
        <v>0</v>
      </c>
      <c r="D645" s="536">
        <f t="shared" si="28"/>
        <v>0</v>
      </c>
      <c r="E645" s="560">
        <f t="shared" si="29"/>
        <v>-4.1836756281554699E-10</v>
      </c>
    </row>
    <row r="646" spans="2:5" x14ac:dyDescent="0.2">
      <c r="B646" s="535">
        <v>631</v>
      </c>
      <c r="C646" s="560">
        <f t="shared" si="27"/>
        <v>0</v>
      </c>
      <c r="D646" s="536">
        <f t="shared" si="28"/>
        <v>0</v>
      </c>
      <c r="E646" s="560">
        <f t="shared" si="29"/>
        <v>-4.1836756281554699E-10</v>
      </c>
    </row>
    <row r="647" spans="2:5" x14ac:dyDescent="0.2">
      <c r="B647" s="535">
        <v>632</v>
      </c>
      <c r="C647" s="560">
        <f t="shared" si="27"/>
        <v>0</v>
      </c>
      <c r="D647" s="536">
        <f t="shared" si="28"/>
        <v>0</v>
      </c>
      <c r="E647" s="560">
        <f t="shared" si="29"/>
        <v>-4.1836756281554699E-10</v>
      </c>
    </row>
    <row r="648" spans="2:5" x14ac:dyDescent="0.2">
      <c r="B648" s="535">
        <v>633</v>
      </c>
      <c r="C648" s="560">
        <f t="shared" si="27"/>
        <v>0</v>
      </c>
      <c r="D648" s="536">
        <f t="shared" si="28"/>
        <v>0</v>
      </c>
      <c r="E648" s="560">
        <f t="shared" si="29"/>
        <v>-4.1836756281554699E-10</v>
      </c>
    </row>
    <row r="649" spans="2:5" x14ac:dyDescent="0.2">
      <c r="B649" s="535">
        <v>634</v>
      </c>
      <c r="C649" s="560">
        <f t="shared" si="27"/>
        <v>0</v>
      </c>
      <c r="D649" s="536">
        <f t="shared" si="28"/>
        <v>0</v>
      </c>
      <c r="E649" s="560">
        <f t="shared" si="29"/>
        <v>-4.1836756281554699E-10</v>
      </c>
    </row>
    <row r="650" spans="2:5" x14ac:dyDescent="0.2">
      <c r="B650" s="535">
        <v>635</v>
      </c>
      <c r="C650" s="560">
        <f t="shared" si="27"/>
        <v>0</v>
      </c>
      <c r="D650" s="536">
        <f t="shared" si="28"/>
        <v>0</v>
      </c>
      <c r="E650" s="560">
        <f t="shared" si="29"/>
        <v>-4.1836756281554699E-10</v>
      </c>
    </row>
    <row r="651" spans="2:5" x14ac:dyDescent="0.2">
      <c r="B651" s="535">
        <v>636</v>
      </c>
      <c r="C651" s="560">
        <f t="shared" si="27"/>
        <v>0</v>
      </c>
      <c r="D651" s="536">
        <f t="shared" si="28"/>
        <v>0</v>
      </c>
      <c r="E651" s="560">
        <f t="shared" si="29"/>
        <v>-4.1836756281554699E-10</v>
      </c>
    </row>
    <row r="652" spans="2:5" x14ac:dyDescent="0.2">
      <c r="B652" s="535">
        <v>637</v>
      </c>
      <c r="C652" s="560">
        <f t="shared" si="27"/>
        <v>0</v>
      </c>
      <c r="D652" s="536">
        <f t="shared" si="28"/>
        <v>0</v>
      </c>
      <c r="E652" s="560">
        <f t="shared" si="29"/>
        <v>-4.1836756281554699E-10</v>
      </c>
    </row>
    <row r="653" spans="2:5" x14ac:dyDescent="0.2">
      <c r="B653" s="535">
        <v>638</v>
      </c>
      <c r="C653" s="560">
        <f t="shared" si="27"/>
        <v>0</v>
      </c>
      <c r="D653" s="536">
        <f t="shared" si="28"/>
        <v>0</v>
      </c>
      <c r="E653" s="560">
        <f t="shared" si="29"/>
        <v>-4.1836756281554699E-10</v>
      </c>
    </row>
    <row r="654" spans="2:5" x14ac:dyDescent="0.2">
      <c r="B654" s="535">
        <v>639</v>
      </c>
      <c r="C654" s="560">
        <f t="shared" si="27"/>
        <v>0</v>
      </c>
      <c r="D654" s="536">
        <f t="shared" si="28"/>
        <v>0</v>
      </c>
      <c r="E654" s="560">
        <f t="shared" si="29"/>
        <v>-4.1836756281554699E-10</v>
      </c>
    </row>
    <row r="655" spans="2:5" x14ac:dyDescent="0.2">
      <c r="B655" s="535">
        <v>640</v>
      </c>
      <c r="C655" s="560">
        <f t="shared" si="27"/>
        <v>0</v>
      </c>
      <c r="D655" s="536">
        <f t="shared" si="28"/>
        <v>0</v>
      </c>
      <c r="E655" s="560">
        <f t="shared" si="29"/>
        <v>-4.1836756281554699E-10</v>
      </c>
    </row>
    <row r="656" spans="2:5" x14ac:dyDescent="0.2">
      <c r="B656" s="535">
        <v>641</v>
      </c>
      <c r="C656" s="560">
        <f t="shared" si="27"/>
        <v>0</v>
      </c>
      <c r="D656" s="536">
        <f t="shared" si="28"/>
        <v>0</v>
      </c>
      <c r="E656" s="560">
        <f t="shared" si="29"/>
        <v>-4.1836756281554699E-10</v>
      </c>
    </row>
    <row r="657" spans="2:5" x14ac:dyDescent="0.2">
      <c r="B657" s="535">
        <v>642</v>
      </c>
      <c r="C657" s="560">
        <f t="shared" si="27"/>
        <v>0</v>
      </c>
      <c r="D657" s="536">
        <f t="shared" si="28"/>
        <v>0</v>
      </c>
      <c r="E657" s="560">
        <f t="shared" si="29"/>
        <v>-4.1836756281554699E-10</v>
      </c>
    </row>
    <row r="658" spans="2:5" x14ac:dyDescent="0.2">
      <c r="B658" s="535">
        <v>643</v>
      </c>
      <c r="C658" s="560">
        <f t="shared" ref="C658:C721" si="30">IF(B658&gt;$C$9,,E657*$C$8/12)</f>
        <v>0</v>
      </c>
      <c r="D658" s="536">
        <f t="shared" ref="D658:D721" si="31">IF(B658&gt;$C$9,,$C$10+C658)</f>
        <v>0</v>
      </c>
      <c r="E658" s="560">
        <f t="shared" ref="E658:E721" si="32">E657+D658</f>
        <v>-4.1836756281554699E-10</v>
      </c>
    </row>
    <row r="659" spans="2:5" x14ac:dyDescent="0.2">
      <c r="B659" s="535">
        <v>644</v>
      </c>
      <c r="C659" s="560">
        <f t="shared" si="30"/>
        <v>0</v>
      </c>
      <c r="D659" s="536">
        <f t="shared" si="31"/>
        <v>0</v>
      </c>
      <c r="E659" s="560">
        <f t="shared" si="32"/>
        <v>-4.1836756281554699E-10</v>
      </c>
    </row>
    <row r="660" spans="2:5" x14ac:dyDescent="0.2">
      <c r="B660" s="535">
        <v>645</v>
      </c>
      <c r="C660" s="560">
        <f t="shared" si="30"/>
        <v>0</v>
      </c>
      <c r="D660" s="536">
        <f t="shared" si="31"/>
        <v>0</v>
      </c>
      <c r="E660" s="560">
        <f t="shared" si="32"/>
        <v>-4.1836756281554699E-10</v>
      </c>
    </row>
    <row r="661" spans="2:5" x14ac:dyDescent="0.2">
      <c r="B661" s="535">
        <v>646</v>
      </c>
      <c r="C661" s="560">
        <f t="shared" si="30"/>
        <v>0</v>
      </c>
      <c r="D661" s="536">
        <f t="shared" si="31"/>
        <v>0</v>
      </c>
      <c r="E661" s="560">
        <f t="shared" si="32"/>
        <v>-4.1836756281554699E-10</v>
      </c>
    </row>
    <row r="662" spans="2:5" x14ac:dyDescent="0.2">
      <c r="B662" s="535">
        <v>647</v>
      </c>
      <c r="C662" s="560">
        <f t="shared" si="30"/>
        <v>0</v>
      </c>
      <c r="D662" s="536">
        <f t="shared" si="31"/>
        <v>0</v>
      </c>
      <c r="E662" s="560">
        <f t="shared" si="32"/>
        <v>-4.1836756281554699E-10</v>
      </c>
    </row>
    <row r="663" spans="2:5" x14ac:dyDescent="0.2">
      <c r="B663" s="535">
        <v>648</v>
      </c>
      <c r="C663" s="560">
        <f t="shared" si="30"/>
        <v>0</v>
      </c>
      <c r="D663" s="536">
        <f t="shared" si="31"/>
        <v>0</v>
      </c>
      <c r="E663" s="560">
        <f t="shared" si="32"/>
        <v>-4.1836756281554699E-10</v>
      </c>
    </row>
    <row r="664" spans="2:5" x14ac:dyDescent="0.2">
      <c r="B664" s="535">
        <v>649</v>
      </c>
      <c r="C664" s="560">
        <f t="shared" si="30"/>
        <v>0</v>
      </c>
      <c r="D664" s="536">
        <f t="shared" si="31"/>
        <v>0</v>
      </c>
      <c r="E664" s="560">
        <f t="shared" si="32"/>
        <v>-4.1836756281554699E-10</v>
      </c>
    </row>
    <row r="665" spans="2:5" x14ac:dyDescent="0.2">
      <c r="B665" s="535">
        <v>650</v>
      </c>
      <c r="C665" s="560">
        <f t="shared" si="30"/>
        <v>0</v>
      </c>
      <c r="D665" s="536">
        <f t="shared" si="31"/>
        <v>0</v>
      </c>
      <c r="E665" s="560">
        <f t="shared" si="32"/>
        <v>-4.1836756281554699E-10</v>
      </c>
    </row>
    <row r="666" spans="2:5" x14ac:dyDescent="0.2">
      <c r="B666" s="535">
        <v>651</v>
      </c>
      <c r="C666" s="560">
        <f t="shared" si="30"/>
        <v>0</v>
      </c>
      <c r="D666" s="536">
        <f t="shared" si="31"/>
        <v>0</v>
      </c>
      <c r="E666" s="560">
        <f t="shared" si="32"/>
        <v>-4.1836756281554699E-10</v>
      </c>
    </row>
    <row r="667" spans="2:5" x14ac:dyDescent="0.2">
      <c r="B667" s="535">
        <v>652</v>
      </c>
      <c r="C667" s="560">
        <f t="shared" si="30"/>
        <v>0</v>
      </c>
      <c r="D667" s="536">
        <f t="shared" si="31"/>
        <v>0</v>
      </c>
      <c r="E667" s="560">
        <f t="shared" si="32"/>
        <v>-4.1836756281554699E-10</v>
      </c>
    </row>
    <row r="668" spans="2:5" x14ac:dyDescent="0.2">
      <c r="B668" s="535">
        <v>653</v>
      </c>
      <c r="C668" s="560">
        <f t="shared" si="30"/>
        <v>0</v>
      </c>
      <c r="D668" s="536">
        <f t="shared" si="31"/>
        <v>0</v>
      </c>
      <c r="E668" s="560">
        <f t="shared" si="32"/>
        <v>-4.1836756281554699E-10</v>
      </c>
    </row>
    <row r="669" spans="2:5" x14ac:dyDescent="0.2">
      <c r="B669" s="535">
        <v>654</v>
      </c>
      <c r="C669" s="560">
        <f t="shared" si="30"/>
        <v>0</v>
      </c>
      <c r="D669" s="536">
        <f t="shared" si="31"/>
        <v>0</v>
      </c>
      <c r="E669" s="560">
        <f t="shared" si="32"/>
        <v>-4.1836756281554699E-10</v>
      </c>
    </row>
    <row r="670" spans="2:5" x14ac:dyDescent="0.2">
      <c r="B670" s="535">
        <v>655</v>
      </c>
      <c r="C670" s="560">
        <f t="shared" si="30"/>
        <v>0</v>
      </c>
      <c r="D670" s="536">
        <f t="shared" si="31"/>
        <v>0</v>
      </c>
      <c r="E670" s="560">
        <f t="shared" si="32"/>
        <v>-4.1836756281554699E-10</v>
      </c>
    </row>
    <row r="671" spans="2:5" x14ac:dyDescent="0.2">
      <c r="B671" s="535">
        <v>656</v>
      </c>
      <c r="C671" s="560">
        <f t="shared" si="30"/>
        <v>0</v>
      </c>
      <c r="D671" s="536">
        <f t="shared" si="31"/>
        <v>0</v>
      </c>
      <c r="E671" s="560">
        <f t="shared" si="32"/>
        <v>-4.1836756281554699E-10</v>
      </c>
    </row>
    <row r="672" spans="2:5" x14ac:dyDescent="0.2">
      <c r="B672" s="535">
        <v>657</v>
      </c>
      <c r="C672" s="560">
        <f t="shared" si="30"/>
        <v>0</v>
      </c>
      <c r="D672" s="536">
        <f t="shared" si="31"/>
        <v>0</v>
      </c>
      <c r="E672" s="560">
        <f t="shared" si="32"/>
        <v>-4.1836756281554699E-10</v>
      </c>
    </row>
    <row r="673" spans="2:5" x14ac:dyDescent="0.2">
      <c r="B673" s="535">
        <v>658</v>
      </c>
      <c r="C673" s="560">
        <f t="shared" si="30"/>
        <v>0</v>
      </c>
      <c r="D673" s="536">
        <f t="shared" si="31"/>
        <v>0</v>
      </c>
      <c r="E673" s="560">
        <f t="shared" si="32"/>
        <v>-4.1836756281554699E-10</v>
      </c>
    </row>
    <row r="674" spans="2:5" x14ac:dyDescent="0.2">
      <c r="B674" s="535">
        <v>659</v>
      </c>
      <c r="C674" s="560">
        <f t="shared" si="30"/>
        <v>0</v>
      </c>
      <c r="D674" s="536">
        <f t="shared" si="31"/>
        <v>0</v>
      </c>
      <c r="E674" s="560">
        <f t="shared" si="32"/>
        <v>-4.1836756281554699E-10</v>
      </c>
    </row>
    <row r="675" spans="2:5" x14ac:dyDescent="0.2">
      <c r="B675" s="535">
        <v>660</v>
      </c>
      <c r="C675" s="560">
        <f t="shared" si="30"/>
        <v>0</v>
      </c>
      <c r="D675" s="536">
        <f t="shared" si="31"/>
        <v>0</v>
      </c>
      <c r="E675" s="560">
        <f t="shared" si="32"/>
        <v>-4.1836756281554699E-10</v>
      </c>
    </row>
    <row r="676" spans="2:5" x14ac:dyDescent="0.2">
      <c r="B676" s="535">
        <v>661</v>
      </c>
      <c r="C676" s="560">
        <f t="shared" si="30"/>
        <v>0</v>
      </c>
      <c r="D676" s="536">
        <f t="shared" si="31"/>
        <v>0</v>
      </c>
      <c r="E676" s="560">
        <f t="shared" si="32"/>
        <v>-4.1836756281554699E-10</v>
      </c>
    </row>
    <row r="677" spans="2:5" x14ac:dyDescent="0.2">
      <c r="B677" s="535">
        <v>662</v>
      </c>
      <c r="C677" s="560">
        <f t="shared" si="30"/>
        <v>0</v>
      </c>
      <c r="D677" s="536">
        <f t="shared" si="31"/>
        <v>0</v>
      </c>
      <c r="E677" s="560">
        <f t="shared" si="32"/>
        <v>-4.1836756281554699E-10</v>
      </c>
    </row>
    <row r="678" spans="2:5" x14ac:dyDescent="0.2">
      <c r="B678" s="535">
        <v>663</v>
      </c>
      <c r="C678" s="560">
        <f t="shared" si="30"/>
        <v>0</v>
      </c>
      <c r="D678" s="536">
        <f t="shared" si="31"/>
        <v>0</v>
      </c>
      <c r="E678" s="560">
        <f t="shared" si="32"/>
        <v>-4.1836756281554699E-10</v>
      </c>
    </row>
    <row r="679" spans="2:5" x14ac:dyDescent="0.2">
      <c r="B679" s="535">
        <v>664</v>
      </c>
      <c r="C679" s="560">
        <f t="shared" si="30"/>
        <v>0</v>
      </c>
      <c r="D679" s="536">
        <f t="shared" si="31"/>
        <v>0</v>
      </c>
      <c r="E679" s="560">
        <f t="shared" si="32"/>
        <v>-4.1836756281554699E-10</v>
      </c>
    </row>
    <row r="680" spans="2:5" x14ac:dyDescent="0.2">
      <c r="B680" s="535">
        <v>665</v>
      </c>
      <c r="C680" s="560">
        <f t="shared" si="30"/>
        <v>0</v>
      </c>
      <c r="D680" s="536">
        <f t="shared" si="31"/>
        <v>0</v>
      </c>
      <c r="E680" s="560">
        <f t="shared" si="32"/>
        <v>-4.1836756281554699E-10</v>
      </c>
    </row>
    <row r="681" spans="2:5" x14ac:dyDescent="0.2">
      <c r="B681" s="535">
        <v>666</v>
      </c>
      <c r="C681" s="560">
        <f t="shared" si="30"/>
        <v>0</v>
      </c>
      <c r="D681" s="536">
        <f t="shared" si="31"/>
        <v>0</v>
      </c>
      <c r="E681" s="560">
        <f t="shared" si="32"/>
        <v>-4.1836756281554699E-10</v>
      </c>
    </row>
    <row r="682" spans="2:5" x14ac:dyDescent="0.2">
      <c r="B682" s="535">
        <v>667</v>
      </c>
      <c r="C682" s="560">
        <f t="shared" si="30"/>
        <v>0</v>
      </c>
      <c r="D682" s="536">
        <f t="shared" si="31"/>
        <v>0</v>
      </c>
      <c r="E682" s="560">
        <f t="shared" si="32"/>
        <v>-4.1836756281554699E-10</v>
      </c>
    </row>
    <row r="683" spans="2:5" x14ac:dyDescent="0.2">
      <c r="B683" s="535">
        <v>668</v>
      </c>
      <c r="C683" s="560">
        <f t="shared" si="30"/>
        <v>0</v>
      </c>
      <c r="D683" s="536">
        <f t="shared" si="31"/>
        <v>0</v>
      </c>
      <c r="E683" s="560">
        <f t="shared" si="32"/>
        <v>-4.1836756281554699E-10</v>
      </c>
    </row>
    <row r="684" spans="2:5" x14ac:dyDescent="0.2">
      <c r="B684" s="535">
        <v>669</v>
      </c>
      <c r="C684" s="560">
        <f t="shared" si="30"/>
        <v>0</v>
      </c>
      <c r="D684" s="536">
        <f t="shared" si="31"/>
        <v>0</v>
      </c>
      <c r="E684" s="560">
        <f t="shared" si="32"/>
        <v>-4.1836756281554699E-10</v>
      </c>
    </row>
    <row r="685" spans="2:5" x14ac:dyDescent="0.2">
      <c r="B685" s="535">
        <v>670</v>
      </c>
      <c r="C685" s="560">
        <f t="shared" si="30"/>
        <v>0</v>
      </c>
      <c r="D685" s="536">
        <f t="shared" si="31"/>
        <v>0</v>
      </c>
      <c r="E685" s="560">
        <f t="shared" si="32"/>
        <v>-4.1836756281554699E-10</v>
      </c>
    </row>
    <row r="686" spans="2:5" x14ac:dyDescent="0.2">
      <c r="B686" s="535">
        <v>671</v>
      </c>
      <c r="C686" s="560">
        <f t="shared" si="30"/>
        <v>0</v>
      </c>
      <c r="D686" s="536">
        <f t="shared" si="31"/>
        <v>0</v>
      </c>
      <c r="E686" s="560">
        <f t="shared" si="32"/>
        <v>-4.1836756281554699E-10</v>
      </c>
    </row>
    <row r="687" spans="2:5" x14ac:dyDescent="0.2">
      <c r="B687" s="535">
        <v>672</v>
      </c>
      <c r="C687" s="560">
        <f t="shared" si="30"/>
        <v>0</v>
      </c>
      <c r="D687" s="536">
        <f t="shared" si="31"/>
        <v>0</v>
      </c>
      <c r="E687" s="560">
        <f t="shared" si="32"/>
        <v>-4.1836756281554699E-10</v>
      </c>
    </row>
    <row r="688" spans="2:5" x14ac:dyDescent="0.2">
      <c r="B688" s="535">
        <v>673</v>
      </c>
      <c r="C688" s="560">
        <f t="shared" si="30"/>
        <v>0</v>
      </c>
      <c r="D688" s="536">
        <f t="shared" si="31"/>
        <v>0</v>
      </c>
      <c r="E688" s="560">
        <f t="shared" si="32"/>
        <v>-4.1836756281554699E-10</v>
      </c>
    </row>
    <row r="689" spans="2:5" x14ac:dyDescent="0.2">
      <c r="B689" s="535">
        <v>674</v>
      </c>
      <c r="C689" s="560">
        <f t="shared" si="30"/>
        <v>0</v>
      </c>
      <c r="D689" s="536">
        <f t="shared" si="31"/>
        <v>0</v>
      </c>
      <c r="E689" s="560">
        <f t="shared" si="32"/>
        <v>-4.1836756281554699E-10</v>
      </c>
    </row>
    <row r="690" spans="2:5" x14ac:dyDescent="0.2">
      <c r="B690" s="535">
        <v>675</v>
      </c>
      <c r="C690" s="560">
        <f t="shared" si="30"/>
        <v>0</v>
      </c>
      <c r="D690" s="536">
        <f t="shared" si="31"/>
        <v>0</v>
      </c>
      <c r="E690" s="560">
        <f t="shared" si="32"/>
        <v>-4.1836756281554699E-10</v>
      </c>
    </row>
    <row r="691" spans="2:5" x14ac:dyDescent="0.2">
      <c r="B691" s="535">
        <v>676</v>
      </c>
      <c r="C691" s="560">
        <f t="shared" si="30"/>
        <v>0</v>
      </c>
      <c r="D691" s="536">
        <f t="shared" si="31"/>
        <v>0</v>
      </c>
      <c r="E691" s="560">
        <f t="shared" si="32"/>
        <v>-4.1836756281554699E-10</v>
      </c>
    </row>
    <row r="692" spans="2:5" x14ac:dyDescent="0.2">
      <c r="B692" s="535">
        <v>677</v>
      </c>
      <c r="C692" s="560">
        <f t="shared" si="30"/>
        <v>0</v>
      </c>
      <c r="D692" s="536">
        <f t="shared" si="31"/>
        <v>0</v>
      </c>
      <c r="E692" s="560">
        <f t="shared" si="32"/>
        <v>-4.1836756281554699E-10</v>
      </c>
    </row>
    <row r="693" spans="2:5" x14ac:dyDescent="0.2">
      <c r="B693" s="535">
        <v>678</v>
      </c>
      <c r="C693" s="560">
        <f t="shared" si="30"/>
        <v>0</v>
      </c>
      <c r="D693" s="536">
        <f t="shared" si="31"/>
        <v>0</v>
      </c>
      <c r="E693" s="560">
        <f t="shared" si="32"/>
        <v>-4.1836756281554699E-10</v>
      </c>
    </row>
    <row r="694" spans="2:5" x14ac:dyDescent="0.2">
      <c r="B694" s="535">
        <v>679</v>
      </c>
      <c r="C694" s="560">
        <f t="shared" si="30"/>
        <v>0</v>
      </c>
      <c r="D694" s="536">
        <f t="shared" si="31"/>
        <v>0</v>
      </c>
      <c r="E694" s="560">
        <f t="shared" si="32"/>
        <v>-4.1836756281554699E-10</v>
      </c>
    </row>
    <row r="695" spans="2:5" x14ac:dyDescent="0.2">
      <c r="B695" s="535">
        <v>680</v>
      </c>
      <c r="C695" s="560">
        <f t="shared" si="30"/>
        <v>0</v>
      </c>
      <c r="D695" s="536">
        <f t="shared" si="31"/>
        <v>0</v>
      </c>
      <c r="E695" s="560">
        <f t="shared" si="32"/>
        <v>-4.1836756281554699E-10</v>
      </c>
    </row>
    <row r="696" spans="2:5" x14ac:dyDescent="0.2">
      <c r="B696" s="535">
        <v>681</v>
      </c>
      <c r="C696" s="560">
        <f t="shared" si="30"/>
        <v>0</v>
      </c>
      <c r="D696" s="536">
        <f t="shared" si="31"/>
        <v>0</v>
      </c>
      <c r="E696" s="560">
        <f t="shared" si="32"/>
        <v>-4.1836756281554699E-10</v>
      </c>
    </row>
    <row r="697" spans="2:5" x14ac:dyDescent="0.2">
      <c r="B697" s="535">
        <v>682</v>
      </c>
      <c r="C697" s="560">
        <f t="shared" si="30"/>
        <v>0</v>
      </c>
      <c r="D697" s="536">
        <f t="shared" si="31"/>
        <v>0</v>
      </c>
      <c r="E697" s="560">
        <f t="shared" si="32"/>
        <v>-4.1836756281554699E-10</v>
      </c>
    </row>
    <row r="698" spans="2:5" x14ac:dyDescent="0.2">
      <c r="B698" s="535">
        <v>683</v>
      </c>
      <c r="C698" s="560">
        <f t="shared" si="30"/>
        <v>0</v>
      </c>
      <c r="D698" s="536">
        <f t="shared" si="31"/>
        <v>0</v>
      </c>
      <c r="E698" s="560">
        <f t="shared" si="32"/>
        <v>-4.1836756281554699E-10</v>
      </c>
    </row>
    <row r="699" spans="2:5" x14ac:dyDescent="0.2">
      <c r="B699" s="535">
        <v>684</v>
      </c>
      <c r="C699" s="560">
        <f t="shared" si="30"/>
        <v>0</v>
      </c>
      <c r="D699" s="536">
        <f t="shared" si="31"/>
        <v>0</v>
      </c>
      <c r="E699" s="560">
        <f t="shared" si="32"/>
        <v>-4.1836756281554699E-10</v>
      </c>
    </row>
    <row r="700" spans="2:5" x14ac:dyDescent="0.2">
      <c r="B700" s="535">
        <v>685</v>
      </c>
      <c r="C700" s="560">
        <f t="shared" si="30"/>
        <v>0</v>
      </c>
      <c r="D700" s="536">
        <f t="shared" si="31"/>
        <v>0</v>
      </c>
      <c r="E700" s="560">
        <f t="shared" si="32"/>
        <v>-4.1836756281554699E-10</v>
      </c>
    </row>
    <row r="701" spans="2:5" x14ac:dyDescent="0.2">
      <c r="B701" s="535">
        <v>686</v>
      </c>
      <c r="C701" s="560">
        <f t="shared" si="30"/>
        <v>0</v>
      </c>
      <c r="D701" s="536">
        <f t="shared" si="31"/>
        <v>0</v>
      </c>
      <c r="E701" s="560">
        <f t="shared" si="32"/>
        <v>-4.1836756281554699E-10</v>
      </c>
    </row>
    <row r="702" spans="2:5" x14ac:dyDescent="0.2">
      <c r="B702" s="535">
        <v>687</v>
      </c>
      <c r="C702" s="560">
        <f t="shared" si="30"/>
        <v>0</v>
      </c>
      <c r="D702" s="536">
        <f t="shared" si="31"/>
        <v>0</v>
      </c>
      <c r="E702" s="560">
        <f t="shared" si="32"/>
        <v>-4.1836756281554699E-10</v>
      </c>
    </row>
    <row r="703" spans="2:5" x14ac:dyDescent="0.2">
      <c r="B703" s="535">
        <v>688</v>
      </c>
      <c r="C703" s="560">
        <f t="shared" si="30"/>
        <v>0</v>
      </c>
      <c r="D703" s="536">
        <f t="shared" si="31"/>
        <v>0</v>
      </c>
      <c r="E703" s="560">
        <f t="shared" si="32"/>
        <v>-4.1836756281554699E-10</v>
      </c>
    </row>
    <row r="704" spans="2:5" x14ac:dyDescent="0.2">
      <c r="B704" s="535">
        <v>689</v>
      </c>
      <c r="C704" s="560">
        <f t="shared" si="30"/>
        <v>0</v>
      </c>
      <c r="D704" s="536">
        <f t="shared" si="31"/>
        <v>0</v>
      </c>
      <c r="E704" s="560">
        <f t="shared" si="32"/>
        <v>-4.1836756281554699E-10</v>
      </c>
    </row>
    <row r="705" spans="2:5" x14ac:dyDescent="0.2">
      <c r="B705" s="535">
        <v>690</v>
      </c>
      <c r="C705" s="560">
        <f t="shared" si="30"/>
        <v>0</v>
      </c>
      <c r="D705" s="536">
        <f t="shared" si="31"/>
        <v>0</v>
      </c>
      <c r="E705" s="560">
        <f t="shared" si="32"/>
        <v>-4.1836756281554699E-10</v>
      </c>
    </row>
    <row r="706" spans="2:5" x14ac:dyDescent="0.2">
      <c r="B706" s="535">
        <v>691</v>
      </c>
      <c r="C706" s="560">
        <f t="shared" si="30"/>
        <v>0</v>
      </c>
      <c r="D706" s="536">
        <f t="shared" si="31"/>
        <v>0</v>
      </c>
      <c r="E706" s="560">
        <f t="shared" si="32"/>
        <v>-4.1836756281554699E-10</v>
      </c>
    </row>
    <row r="707" spans="2:5" x14ac:dyDescent="0.2">
      <c r="B707" s="535">
        <v>692</v>
      </c>
      <c r="C707" s="560">
        <f t="shared" si="30"/>
        <v>0</v>
      </c>
      <c r="D707" s="536">
        <f t="shared" si="31"/>
        <v>0</v>
      </c>
      <c r="E707" s="560">
        <f t="shared" si="32"/>
        <v>-4.1836756281554699E-10</v>
      </c>
    </row>
    <row r="708" spans="2:5" x14ac:dyDescent="0.2">
      <c r="B708" s="535">
        <v>693</v>
      </c>
      <c r="C708" s="560">
        <f t="shared" si="30"/>
        <v>0</v>
      </c>
      <c r="D708" s="536">
        <f t="shared" si="31"/>
        <v>0</v>
      </c>
      <c r="E708" s="560">
        <f t="shared" si="32"/>
        <v>-4.1836756281554699E-10</v>
      </c>
    </row>
    <row r="709" spans="2:5" x14ac:dyDescent="0.2">
      <c r="B709" s="535">
        <v>694</v>
      </c>
      <c r="C709" s="560">
        <f t="shared" si="30"/>
        <v>0</v>
      </c>
      <c r="D709" s="536">
        <f t="shared" si="31"/>
        <v>0</v>
      </c>
      <c r="E709" s="560">
        <f t="shared" si="32"/>
        <v>-4.1836756281554699E-10</v>
      </c>
    </row>
    <row r="710" spans="2:5" x14ac:dyDescent="0.2">
      <c r="B710" s="535">
        <v>695</v>
      </c>
      <c r="C710" s="560">
        <f t="shared" si="30"/>
        <v>0</v>
      </c>
      <c r="D710" s="536">
        <f t="shared" si="31"/>
        <v>0</v>
      </c>
      <c r="E710" s="560">
        <f t="shared" si="32"/>
        <v>-4.1836756281554699E-10</v>
      </c>
    </row>
    <row r="711" spans="2:5" x14ac:dyDescent="0.2">
      <c r="B711" s="535">
        <v>696</v>
      </c>
      <c r="C711" s="560">
        <f t="shared" si="30"/>
        <v>0</v>
      </c>
      <c r="D711" s="536">
        <f t="shared" si="31"/>
        <v>0</v>
      </c>
      <c r="E711" s="560">
        <f t="shared" si="32"/>
        <v>-4.1836756281554699E-10</v>
      </c>
    </row>
    <row r="712" spans="2:5" x14ac:dyDescent="0.2">
      <c r="B712" s="535">
        <v>697</v>
      </c>
      <c r="C712" s="560">
        <f t="shared" si="30"/>
        <v>0</v>
      </c>
      <c r="D712" s="536">
        <f t="shared" si="31"/>
        <v>0</v>
      </c>
      <c r="E712" s="560">
        <f t="shared" si="32"/>
        <v>-4.1836756281554699E-10</v>
      </c>
    </row>
    <row r="713" spans="2:5" x14ac:dyDescent="0.2">
      <c r="B713" s="535">
        <v>698</v>
      </c>
      <c r="C713" s="560">
        <f t="shared" si="30"/>
        <v>0</v>
      </c>
      <c r="D713" s="536">
        <f t="shared" si="31"/>
        <v>0</v>
      </c>
      <c r="E713" s="560">
        <f t="shared" si="32"/>
        <v>-4.1836756281554699E-10</v>
      </c>
    </row>
    <row r="714" spans="2:5" x14ac:dyDescent="0.2">
      <c r="B714" s="535">
        <v>699</v>
      </c>
      <c r="C714" s="560">
        <f t="shared" si="30"/>
        <v>0</v>
      </c>
      <c r="D714" s="536">
        <f t="shared" si="31"/>
        <v>0</v>
      </c>
      <c r="E714" s="560">
        <f t="shared" si="32"/>
        <v>-4.1836756281554699E-10</v>
      </c>
    </row>
    <row r="715" spans="2:5" x14ac:dyDescent="0.2">
      <c r="B715" s="535">
        <v>700</v>
      </c>
      <c r="C715" s="560">
        <f t="shared" si="30"/>
        <v>0</v>
      </c>
      <c r="D715" s="536">
        <f t="shared" si="31"/>
        <v>0</v>
      </c>
      <c r="E715" s="560">
        <f t="shared" si="32"/>
        <v>-4.1836756281554699E-10</v>
      </c>
    </row>
    <row r="716" spans="2:5" x14ac:dyDescent="0.2">
      <c r="B716" s="535">
        <v>701</v>
      </c>
      <c r="C716" s="560">
        <f t="shared" si="30"/>
        <v>0</v>
      </c>
      <c r="D716" s="536">
        <f t="shared" si="31"/>
        <v>0</v>
      </c>
      <c r="E716" s="560">
        <f t="shared" si="32"/>
        <v>-4.1836756281554699E-10</v>
      </c>
    </row>
    <row r="717" spans="2:5" x14ac:dyDescent="0.2">
      <c r="B717" s="535">
        <v>702</v>
      </c>
      <c r="C717" s="560">
        <f t="shared" si="30"/>
        <v>0</v>
      </c>
      <c r="D717" s="536">
        <f t="shared" si="31"/>
        <v>0</v>
      </c>
      <c r="E717" s="560">
        <f t="shared" si="32"/>
        <v>-4.1836756281554699E-10</v>
      </c>
    </row>
    <row r="718" spans="2:5" x14ac:dyDescent="0.2">
      <c r="B718" s="535">
        <v>703</v>
      </c>
      <c r="C718" s="560">
        <f t="shared" si="30"/>
        <v>0</v>
      </c>
      <c r="D718" s="536">
        <f t="shared" si="31"/>
        <v>0</v>
      </c>
      <c r="E718" s="560">
        <f t="shared" si="32"/>
        <v>-4.1836756281554699E-10</v>
      </c>
    </row>
    <row r="719" spans="2:5" x14ac:dyDescent="0.2">
      <c r="B719" s="535">
        <v>704</v>
      </c>
      <c r="C719" s="560">
        <f t="shared" si="30"/>
        <v>0</v>
      </c>
      <c r="D719" s="536">
        <f t="shared" si="31"/>
        <v>0</v>
      </c>
      <c r="E719" s="560">
        <f t="shared" si="32"/>
        <v>-4.1836756281554699E-10</v>
      </c>
    </row>
    <row r="720" spans="2:5" x14ac:dyDescent="0.2">
      <c r="B720" s="535">
        <v>705</v>
      </c>
      <c r="C720" s="560">
        <f t="shared" si="30"/>
        <v>0</v>
      </c>
      <c r="D720" s="536">
        <f t="shared" si="31"/>
        <v>0</v>
      </c>
      <c r="E720" s="560">
        <f t="shared" si="32"/>
        <v>-4.1836756281554699E-10</v>
      </c>
    </row>
    <row r="721" spans="2:5" x14ac:dyDescent="0.2">
      <c r="B721" s="535">
        <v>706</v>
      </c>
      <c r="C721" s="560">
        <f t="shared" si="30"/>
        <v>0</v>
      </c>
      <c r="D721" s="536">
        <f t="shared" si="31"/>
        <v>0</v>
      </c>
      <c r="E721" s="560">
        <f t="shared" si="32"/>
        <v>-4.1836756281554699E-10</v>
      </c>
    </row>
    <row r="722" spans="2:5" x14ac:dyDescent="0.2">
      <c r="B722" s="535">
        <v>707</v>
      </c>
      <c r="C722" s="560">
        <f t="shared" ref="C722:C735" si="33">IF(B722&gt;$C$9,,E721*$C$8/12)</f>
        <v>0</v>
      </c>
      <c r="D722" s="536">
        <f t="shared" ref="D722:D735" si="34">IF(B722&gt;$C$9,,$C$10+C722)</f>
        <v>0</v>
      </c>
      <c r="E722" s="560">
        <f t="shared" ref="E722:E735" si="35">E721+D722</f>
        <v>-4.1836756281554699E-10</v>
      </c>
    </row>
    <row r="723" spans="2:5" x14ac:dyDescent="0.2">
      <c r="B723" s="535">
        <v>708</v>
      </c>
      <c r="C723" s="560">
        <f t="shared" si="33"/>
        <v>0</v>
      </c>
      <c r="D723" s="536">
        <f t="shared" si="34"/>
        <v>0</v>
      </c>
      <c r="E723" s="560">
        <f t="shared" si="35"/>
        <v>-4.1836756281554699E-10</v>
      </c>
    </row>
    <row r="724" spans="2:5" x14ac:dyDescent="0.2">
      <c r="B724" s="535">
        <v>709</v>
      </c>
      <c r="C724" s="560">
        <f t="shared" si="33"/>
        <v>0</v>
      </c>
      <c r="D724" s="536">
        <f t="shared" si="34"/>
        <v>0</v>
      </c>
      <c r="E724" s="560">
        <f t="shared" si="35"/>
        <v>-4.1836756281554699E-10</v>
      </c>
    </row>
    <row r="725" spans="2:5" x14ac:dyDescent="0.2">
      <c r="B725" s="535">
        <v>710</v>
      </c>
      <c r="C725" s="560">
        <f t="shared" si="33"/>
        <v>0</v>
      </c>
      <c r="D725" s="536">
        <f t="shared" si="34"/>
        <v>0</v>
      </c>
      <c r="E725" s="560">
        <f t="shared" si="35"/>
        <v>-4.1836756281554699E-10</v>
      </c>
    </row>
    <row r="726" spans="2:5" x14ac:dyDescent="0.2">
      <c r="B726" s="535">
        <v>711</v>
      </c>
      <c r="C726" s="560">
        <f t="shared" si="33"/>
        <v>0</v>
      </c>
      <c r="D726" s="536">
        <f t="shared" si="34"/>
        <v>0</v>
      </c>
      <c r="E726" s="560">
        <f t="shared" si="35"/>
        <v>-4.1836756281554699E-10</v>
      </c>
    </row>
    <row r="727" spans="2:5" x14ac:dyDescent="0.2">
      <c r="B727" s="535">
        <v>712</v>
      </c>
      <c r="C727" s="560">
        <f t="shared" si="33"/>
        <v>0</v>
      </c>
      <c r="D727" s="536">
        <f t="shared" si="34"/>
        <v>0</v>
      </c>
      <c r="E727" s="560">
        <f t="shared" si="35"/>
        <v>-4.1836756281554699E-10</v>
      </c>
    </row>
    <row r="728" spans="2:5" x14ac:dyDescent="0.2">
      <c r="B728" s="535">
        <v>713</v>
      </c>
      <c r="C728" s="560">
        <f t="shared" si="33"/>
        <v>0</v>
      </c>
      <c r="D728" s="536">
        <f t="shared" si="34"/>
        <v>0</v>
      </c>
      <c r="E728" s="560">
        <f t="shared" si="35"/>
        <v>-4.1836756281554699E-10</v>
      </c>
    </row>
    <row r="729" spans="2:5" x14ac:dyDescent="0.2">
      <c r="B729" s="535">
        <v>714</v>
      </c>
      <c r="C729" s="560">
        <f t="shared" si="33"/>
        <v>0</v>
      </c>
      <c r="D729" s="536">
        <f t="shared" si="34"/>
        <v>0</v>
      </c>
      <c r="E729" s="560">
        <f t="shared" si="35"/>
        <v>-4.1836756281554699E-10</v>
      </c>
    </row>
    <row r="730" spans="2:5" x14ac:dyDescent="0.2">
      <c r="B730" s="535">
        <v>715</v>
      </c>
      <c r="C730" s="560">
        <f t="shared" si="33"/>
        <v>0</v>
      </c>
      <c r="D730" s="536">
        <f t="shared" si="34"/>
        <v>0</v>
      </c>
      <c r="E730" s="560">
        <f t="shared" si="35"/>
        <v>-4.1836756281554699E-10</v>
      </c>
    </row>
    <row r="731" spans="2:5" x14ac:dyDescent="0.2">
      <c r="B731" s="535">
        <v>716</v>
      </c>
      <c r="C731" s="560">
        <f t="shared" si="33"/>
        <v>0</v>
      </c>
      <c r="D731" s="536">
        <f t="shared" si="34"/>
        <v>0</v>
      </c>
      <c r="E731" s="560">
        <f t="shared" si="35"/>
        <v>-4.1836756281554699E-10</v>
      </c>
    </row>
    <row r="732" spans="2:5" x14ac:dyDescent="0.2">
      <c r="B732" s="535">
        <v>717</v>
      </c>
      <c r="C732" s="560">
        <f t="shared" si="33"/>
        <v>0</v>
      </c>
      <c r="D732" s="536">
        <f t="shared" si="34"/>
        <v>0</v>
      </c>
      <c r="E732" s="560">
        <f t="shared" si="35"/>
        <v>-4.1836756281554699E-10</v>
      </c>
    </row>
    <row r="733" spans="2:5" x14ac:dyDescent="0.2">
      <c r="B733" s="535">
        <v>718</v>
      </c>
      <c r="C733" s="560">
        <f t="shared" si="33"/>
        <v>0</v>
      </c>
      <c r="D733" s="536">
        <f t="shared" si="34"/>
        <v>0</v>
      </c>
      <c r="E733" s="560">
        <f t="shared" si="35"/>
        <v>-4.1836756281554699E-10</v>
      </c>
    </row>
    <row r="734" spans="2:5" x14ac:dyDescent="0.2">
      <c r="B734" s="535">
        <v>719</v>
      </c>
      <c r="C734" s="560">
        <f t="shared" si="33"/>
        <v>0</v>
      </c>
      <c r="D734" s="536">
        <f t="shared" si="34"/>
        <v>0</v>
      </c>
      <c r="E734" s="560">
        <f t="shared" si="35"/>
        <v>-4.1836756281554699E-10</v>
      </c>
    </row>
    <row r="735" spans="2:5" x14ac:dyDescent="0.2">
      <c r="B735" s="535">
        <v>720</v>
      </c>
      <c r="C735" s="560">
        <f t="shared" si="33"/>
        <v>0</v>
      </c>
      <c r="D735" s="536">
        <f t="shared" si="34"/>
        <v>0</v>
      </c>
      <c r="E735" s="560">
        <f t="shared" si="35"/>
        <v>-4.1836756281554699E-10</v>
      </c>
    </row>
  </sheetData>
  <sheetProtection password="C434" sheet="1" objects="1" scenarios="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6"/>
  <sheetViews>
    <sheetView showGridLines="0" showZeros="0" zoomScaleNormal="100" workbookViewId="0">
      <selection activeCell="C10" sqref="C10"/>
    </sheetView>
  </sheetViews>
  <sheetFormatPr baseColWidth="10" defaultColWidth="8" defaultRowHeight="12.75" x14ac:dyDescent="0.2"/>
  <cols>
    <col min="1" max="1" width="1.75" style="5" customWidth="1"/>
    <col min="2" max="2" width="40.625" style="5" customWidth="1"/>
    <col min="3" max="10" width="15.625" style="5" customWidth="1"/>
    <col min="11" max="16384" width="8" style="5"/>
  </cols>
  <sheetData>
    <row r="1" spans="1:10" x14ac:dyDescent="0.2">
      <c r="B1" s="167"/>
      <c r="C1" s="101"/>
    </row>
    <row r="2" spans="1:10" x14ac:dyDescent="0.2">
      <c r="B2" s="540" t="s">
        <v>88</v>
      </c>
      <c r="C2" s="784" t="s">
        <v>752</v>
      </c>
    </row>
    <row r="3" spans="1:10" x14ac:dyDescent="0.2">
      <c r="B3" s="538" t="s">
        <v>18</v>
      </c>
      <c r="C3" s="786" t="s">
        <v>756</v>
      </c>
    </row>
    <row r="4" spans="1:10" x14ac:dyDescent="0.2">
      <c r="B4" s="538" t="s">
        <v>19</v>
      </c>
      <c r="C4" s="787">
        <v>42383</v>
      </c>
    </row>
    <row r="5" spans="1:10" s="46" customFormat="1" x14ac:dyDescent="0.2">
      <c r="B5" s="538" t="s">
        <v>20</v>
      </c>
      <c r="C5" s="790" t="s">
        <v>757</v>
      </c>
      <c r="D5" s="5"/>
      <c r="E5" s="5"/>
      <c r="F5" s="5"/>
    </row>
    <row r="6" spans="1:10" s="46" customFormat="1" x14ac:dyDescent="0.2">
      <c r="B6" s="104"/>
      <c r="C6" s="539"/>
    </row>
    <row r="7" spans="1:10" s="632" customFormat="1" ht="16.5" thickBot="1" x14ac:dyDescent="0.25">
      <c r="A7" s="629"/>
      <c r="B7" s="630" t="s">
        <v>306</v>
      </c>
      <c r="C7" s="631"/>
      <c r="D7" s="629"/>
      <c r="E7" s="629"/>
      <c r="F7" s="629"/>
      <c r="G7" s="629"/>
      <c r="H7" s="629"/>
      <c r="I7" s="629"/>
      <c r="J7" s="629"/>
    </row>
    <row r="8" spans="1:10" x14ac:dyDescent="0.2">
      <c r="A8" s="99"/>
      <c r="B8" s="102"/>
      <c r="C8" s="103"/>
      <c r="D8" s="100"/>
      <c r="E8" s="100"/>
      <c r="F8" s="100"/>
      <c r="G8" s="100"/>
      <c r="H8" s="100"/>
      <c r="I8" s="100"/>
      <c r="J8" s="100"/>
    </row>
    <row r="9" spans="1:10" x14ac:dyDescent="0.2">
      <c r="A9" s="45"/>
      <c r="B9" s="443" t="s">
        <v>524</v>
      </c>
      <c r="C9" s="101"/>
    </row>
    <row r="10" spans="1:10" x14ac:dyDescent="0.2">
      <c r="A10" s="45"/>
      <c r="B10" s="105" t="s">
        <v>21</v>
      </c>
      <c r="C10" s="806">
        <v>1975</v>
      </c>
      <c r="H10" s="1"/>
    </row>
    <row r="11" spans="1:10" x14ac:dyDescent="0.2">
      <c r="A11" s="45"/>
      <c r="B11" s="76" t="s">
        <v>22</v>
      </c>
      <c r="C11" s="106">
        <v>1529</v>
      </c>
      <c r="D11" s="28">
        <f>+C11*SHAB</f>
        <v>4204750</v>
      </c>
      <c r="E11" s="390" t="s">
        <v>506</v>
      </c>
    </row>
    <row r="12" spans="1:10" x14ac:dyDescent="0.2">
      <c r="A12" s="45"/>
      <c r="B12" s="58" t="s">
        <v>186</v>
      </c>
      <c r="C12" s="107">
        <v>825000</v>
      </c>
      <c r="E12" s="391" t="s">
        <v>507</v>
      </c>
      <c r="F12" s="1"/>
    </row>
    <row r="13" spans="1:10" x14ac:dyDescent="0.2">
      <c r="A13" s="45"/>
      <c r="B13" s="104"/>
      <c r="C13" s="101"/>
      <c r="H13" s="9"/>
    </row>
    <row r="14" spans="1:10" x14ac:dyDescent="0.2">
      <c r="A14" s="45"/>
      <c r="B14" s="443" t="s">
        <v>525</v>
      </c>
      <c r="C14" s="101"/>
      <c r="H14" s="9"/>
    </row>
    <row r="15" spans="1:10" x14ac:dyDescent="0.2">
      <c r="A15" s="45"/>
      <c r="B15" s="105"/>
      <c r="C15" s="108" t="s">
        <v>31</v>
      </c>
      <c r="D15" s="3" t="s">
        <v>23</v>
      </c>
      <c r="E15" s="3" t="s">
        <v>24</v>
      </c>
      <c r="F15" s="3" t="s">
        <v>25</v>
      </c>
      <c r="G15" s="3" t="s">
        <v>26</v>
      </c>
      <c r="H15" s="3" t="s">
        <v>27</v>
      </c>
      <c r="I15" s="37" t="s">
        <v>195</v>
      </c>
      <c r="J15" s="3" t="s">
        <v>29</v>
      </c>
    </row>
    <row r="16" spans="1:10" x14ac:dyDescent="0.2">
      <c r="A16" s="45"/>
      <c r="B16" s="105" t="s">
        <v>45</v>
      </c>
      <c r="C16" s="109"/>
      <c r="D16" s="6">
        <v>10</v>
      </c>
      <c r="E16" s="6">
        <v>8</v>
      </c>
      <c r="F16" s="6">
        <v>12</v>
      </c>
      <c r="G16" s="6">
        <v>12</v>
      </c>
      <c r="H16" s="6">
        <v>4</v>
      </c>
      <c r="I16" s="3">
        <f>SUM(C16:H16)</f>
        <v>46</v>
      </c>
      <c r="J16" s="4"/>
    </row>
    <row r="17" spans="1:10" x14ac:dyDescent="0.2">
      <c r="A17" s="45"/>
      <c r="B17" s="58" t="s">
        <v>194</v>
      </c>
      <c r="C17" s="110">
        <v>55</v>
      </c>
      <c r="D17" s="25">
        <v>45</v>
      </c>
      <c r="E17" s="25">
        <v>50</v>
      </c>
      <c r="F17" s="25">
        <v>60</v>
      </c>
      <c r="G17" s="25">
        <v>70</v>
      </c>
      <c r="H17" s="25">
        <v>85</v>
      </c>
      <c r="I17" s="3"/>
      <c r="J17" s="3"/>
    </row>
    <row r="18" spans="1:10" x14ac:dyDescent="0.2">
      <c r="A18" s="45"/>
      <c r="B18" s="58" t="s">
        <v>305</v>
      </c>
      <c r="C18" s="111" t="str">
        <f>IF(C16=0,"",C16*C17)</f>
        <v/>
      </c>
      <c r="D18" s="27">
        <f t="shared" ref="D18:H18" si="0">IF(D16=0,"",D16*D17)</f>
        <v>450</v>
      </c>
      <c r="E18" s="27">
        <f t="shared" si="0"/>
        <v>400</v>
      </c>
      <c r="F18" s="27">
        <f t="shared" si="0"/>
        <v>720</v>
      </c>
      <c r="G18" s="27">
        <f t="shared" si="0"/>
        <v>840</v>
      </c>
      <c r="H18" s="27">
        <f t="shared" si="0"/>
        <v>340</v>
      </c>
      <c r="I18" s="27">
        <f>SUM(D18:H18)</f>
        <v>2750</v>
      </c>
      <c r="J18" s="3"/>
    </row>
    <row r="19" spans="1:10" x14ac:dyDescent="0.2">
      <c r="A19" s="45"/>
      <c r="B19" s="104"/>
      <c r="C19" s="101"/>
    </row>
    <row r="20" spans="1:10" s="632" customFormat="1" ht="16.5" thickBot="1" x14ac:dyDescent="0.25">
      <c r="A20" s="629"/>
      <c r="B20" s="630" t="s">
        <v>345</v>
      </c>
      <c r="C20" s="631"/>
      <c r="D20" s="629"/>
      <c r="E20" s="629"/>
      <c r="F20" s="629"/>
      <c r="G20" s="629"/>
      <c r="H20" s="629"/>
      <c r="I20" s="629"/>
      <c r="J20" s="629"/>
    </row>
    <row r="21" spans="1:10" x14ac:dyDescent="0.2">
      <c r="A21" s="99"/>
      <c r="B21" s="102"/>
      <c r="C21" s="103"/>
      <c r="D21" s="100"/>
      <c r="E21" s="100"/>
      <c r="F21" s="100"/>
      <c r="G21" s="100"/>
      <c r="H21" s="100"/>
      <c r="I21" s="100"/>
      <c r="J21" s="100"/>
    </row>
    <row r="22" spans="1:10" s="26" customFormat="1" x14ac:dyDescent="0.2">
      <c r="A22" s="45"/>
      <c r="B22" s="531" t="s">
        <v>526</v>
      </c>
      <c r="C22" s="166"/>
      <c r="D22" s="1"/>
      <c r="E22" s="1"/>
      <c r="F22" s="1"/>
    </row>
    <row r="23" spans="1:10" s="30" customFormat="1" ht="12.75" customHeight="1" x14ac:dyDescent="0.2">
      <c r="A23" s="36"/>
      <c r="B23" s="541" t="s">
        <v>173</v>
      </c>
      <c r="C23" s="542">
        <v>10</v>
      </c>
      <c r="D23" s="38"/>
      <c r="E23" s="39"/>
      <c r="F23" s="38"/>
      <c r="J23" s="40"/>
    </row>
    <row r="24" spans="1:10" s="30" customFormat="1" ht="12.75" customHeight="1" x14ac:dyDescent="0.2">
      <c r="A24" s="36"/>
      <c r="B24" s="541" t="s">
        <v>174</v>
      </c>
      <c r="C24" s="542">
        <v>50</v>
      </c>
      <c r="D24" s="38"/>
      <c r="E24" s="39"/>
      <c r="F24" s="38"/>
      <c r="J24" s="40"/>
    </row>
    <row r="25" spans="1:10" s="30" customFormat="1" ht="12.75" customHeight="1" x14ac:dyDescent="0.2">
      <c r="A25" s="36"/>
      <c r="B25" s="541" t="s">
        <v>175</v>
      </c>
      <c r="C25" s="542">
        <v>18</v>
      </c>
      <c r="D25" s="38"/>
      <c r="E25" s="39"/>
      <c r="F25" s="38"/>
      <c r="J25" s="40"/>
    </row>
    <row r="26" spans="1:10" s="30" customFormat="1" x14ac:dyDescent="0.2">
      <c r="A26" s="36"/>
      <c r="B26" s="541" t="s">
        <v>177</v>
      </c>
      <c r="C26" s="543">
        <v>0.1</v>
      </c>
      <c r="D26" s="38"/>
      <c r="E26" s="39"/>
      <c r="F26" s="38"/>
    </row>
    <row r="27" spans="1:10" s="30" customFormat="1" x14ac:dyDescent="0.2">
      <c r="A27" s="36"/>
      <c r="B27" s="541" t="s">
        <v>178</v>
      </c>
      <c r="C27" s="543">
        <v>0.5</v>
      </c>
      <c r="D27" s="38"/>
      <c r="E27" s="39"/>
      <c r="F27" s="38"/>
    </row>
    <row r="28" spans="1:10" x14ac:dyDescent="0.2">
      <c r="A28" s="45"/>
      <c r="B28" s="104"/>
      <c r="C28" s="392"/>
      <c r="D28" s="1"/>
      <c r="E28" s="1"/>
      <c r="F28" s="1"/>
    </row>
    <row r="29" spans="1:10" x14ac:dyDescent="0.2">
      <c r="B29" s="531" t="s">
        <v>527</v>
      </c>
      <c r="C29" s="166"/>
    </row>
    <row r="30" spans="1:10" x14ac:dyDescent="0.2">
      <c r="B30" s="544" t="s">
        <v>176</v>
      </c>
      <c r="C30" s="545">
        <f>C23*C24</f>
        <v>500</v>
      </c>
    </row>
    <row r="31" spans="1:10" x14ac:dyDescent="0.2">
      <c r="B31" s="544" t="s">
        <v>485</v>
      </c>
      <c r="C31" s="545">
        <f>2*((C23*C25)+(C24*C25))-Surf_Men</f>
        <v>1224</v>
      </c>
    </row>
    <row r="32" spans="1:10" x14ac:dyDescent="0.2">
      <c r="B32" s="546" t="s">
        <v>343</v>
      </c>
      <c r="C32" s="547">
        <f>2*((C23*C25)-(C23*C25)*C26)</f>
        <v>324</v>
      </c>
    </row>
    <row r="33" spans="1:10" x14ac:dyDescent="0.2">
      <c r="B33" s="546" t="s">
        <v>344</v>
      </c>
      <c r="C33" s="547">
        <f>2*((C24*C25)-(C24*C25)*C27)</f>
        <v>900</v>
      </c>
    </row>
    <row r="34" spans="1:10" x14ac:dyDescent="0.2">
      <c r="B34" s="544" t="s">
        <v>341</v>
      </c>
      <c r="C34" s="545">
        <f>2*((C23*C25)*C26+(C24*C25)*C27)</f>
        <v>936</v>
      </c>
    </row>
    <row r="35" spans="1:10" x14ac:dyDescent="0.2">
      <c r="B35" s="544" t="s">
        <v>342</v>
      </c>
      <c r="C35" s="545">
        <f>C23*C24</f>
        <v>500</v>
      </c>
    </row>
    <row r="36" spans="1:10" x14ac:dyDescent="0.2">
      <c r="A36" s="45"/>
      <c r="B36" s="104"/>
      <c r="C36" s="101"/>
    </row>
    <row r="37" spans="1:10" s="632" customFormat="1" ht="16.5" thickBot="1" x14ac:dyDescent="0.25">
      <c r="A37" s="629"/>
      <c r="B37" s="630" t="s">
        <v>86</v>
      </c>
      <c r="C37" s="631"/>
      <c r="D37" s="629"/>
      <c r="E37" s="629"/>
      <c r="F37" s="629"/>
      <c r="G37" s="629"/>
      <c r="H37" s="629"/>
      <c r="I37" s="629"/>
      <c r="J37" s="629"/>
    </row>
    <row r="38" spans="1:10" x14ac:dyDescent="0.2">
      <c r="A38" s="99"/>
      <c r="B38" s="102"/>
      <c r="C38" s="103"/>
      <c r="D38" s="100"/>
      <c r="E38" s="100"/>
      <c r="F38" s="100"/>
      <c r="G38" s="100"/>
      <c r="H38" s="100"/>
      <c r="I38" s="100"/>
      <c r="J38" s="100"/>
    </row>
    <row r="39" spans="1:10" x14ac:dyDescent="0.2">
      <c r="B39" s="443" t="s">
        <v>528</v>
      </c>
      <c r="C39" s="166"/>
    </row>
    <row r="40" spans="1:10" s="26" customFormat="1" ht="25.5" x14ac:dyDescent="0.2">
      <c r="A40" s="45"/>
      <c r="B40" s="548" t="s">
        <v>202</v>
      </c>
      <c r="C40" s="549">
        <v>40</v>
      </c>
      <c r="D40" s="391" t="s">
        <v>81</v>
      </c>
      <c r="E40" s="1"/>
      <c r="F40" s="1"/>
      <c r="G40" s="7"/>
    </row>
    <row r="41" spans="1:10" s="26" customFormat="1" ht="4.9000000000000004" customHeight="1" x14ac:dyDescent="0.2">
      <c r="A41" s="45"/>
      <c r="B41" s="548"/>
      <c r="C41" s="549"/>
      <c r="D41" s="391"/>
      <c r="E41" s="1"/>
      <c r="F41" s="1"/>
      <c r="G41" s="7"/>
    </row>
    <row r="42" spans="1:10" x14ac:dyDescent="0.2">
      <c r="A42" s="45"/>
      <c r="B42" s="550" t="s">
        <v>75</v>
      </c>
      <c r="C42" s="551">
        <v>0.02</v>
      </c>
      <c r="D42" s="391" t="s">
        <v>82</v>
      </c>
      <c r="E42" s="1"/>
      <c r="F42" s="1"/>
    </row>
    <row r="43" spans="1:10" x14ac:dyDescent="0.2">
      <c r="A43" s="45"/>
      <c r="B43" s="541" t="s">
        <v>83</v>
      </c>
      <c r="C43" s="551">
        <v>2.5000000000000001E-2</v>
      </c>
      <c r="D43" s="391"/>
      <c r="E43" s="1"/>
      <c r="F43" s="1"/>
    </row>
    <row r="44" spans="1:10" x14ac:dyDescent="0.2">
      <c r="A44" s="45"/>
      <c r="B44" s="541" t="s">
        <v>84</v>
      </c>
      <c r="C44" s="552">
        <f>C43-Inflation</f>
        <v>5.000000000000001E-3</v>
      </c>
      <c r="D44" s="391"/>
      <c r="E44" s="1"/>
      <c r="F44" s="1"/>
    </row>
    <row r="45" spans="1:10" x14ac:dyDescent="0.2">
      <c r="A45" s="45"/>
      <c r="B45" s="550" t="s">
        <v>203</v>
      </c>
      <c r="C45" s="551">
        <v>3.1E-2</v>
      </c>
      <c r="D45" s="391" t="s">
        <v>85</v>
      </c>
      <c r="E45" s="1"/>
      <c r="F45" s="1"/>
    </row>
    <row r="46" spans="1:10" x14ac:dyDescent="0.2">
      <c r="A46" s="45"/>
      <c r="B46" s="550" t="s">
        <v>204</v>
      </c>
      <c r="C46" s="553">
        <v>1.0999999999999999E-2</v>
      </c>
      <c r="D46" s="391"/>
      <c r="E46" s="1"/>
      <c r="F46" s="1"/>
    </row>
    <row r="47" spans="1:10" ht="4.9000000000000004" customHeight="1" x14ac:dyDescent="0.2">
      <c r="A47" s="45"/>
      <c r="B47" s="550"/>
      <c r="C47" s="553"/>
      <c r="D47" s="391"/>
      <c r="E47" s="1"/>
      <c r="F47" s="1"/>
    </row>
    <row r="48" spans="1:10" x14ac:dyDescent="0.2">
      <c r="A48" s="45"/>
      <c r="B48" s="554" t="s">
        <v>552</v>
      </c>
      <c r="C48" s="557">
        <v>400000</v>
      </c>
      <c r="D48" s="391"/>
      <c r="E48" s="1"/>
      <c r="F48" s="1"/>
    </row>
    <row r="49" spans="1:6" x14ac:dyDescent="0.2">
      <c r="A49" s="45"/>
      <c r="B49" s="554" t="s">
        <v>205</v>
      </c>
      <c r="C49" s="556">
        <v>3.5000000000000003E-2</v>
      </c>
      <c r="D49" s="1"/>
      <c r="E49" s="1"/>
      <c r="F49" s="1"/>
    </row>
    <row r="50" spans="1:6" x14ac:dyDescent="0.2">
      <c r="A50" s="45"/>
      <c r="B50" s="554" t="s">
        <v>206</v>
      </c>
      <c r="C50" s="555">
        <v>15</v>
      </c>
      <c r="D50" s="1"/>
      <c r="E50" s="1"/>
      <c r="F50" s="1"/>
    </row>
    <row r="51" spans="1:6" x14ac:dyDescent="0.2">
      <c r="A51" s="45"/>
      <c r="B51" s="554" t="s">
        <v>551</v>
      </c>
      <c r="C51" s="558">
        <f>COUT_EMPRUNT</f>
        <v>114715.42976708601</v>
      </c>
      <c r="D51" s="1"/>
      <c r="E51" s="1"/>
      <c r="F51" s="1"/>
    </row>
    <row r="52" spans="1:6" x14ac:dyDescent="0.2">
      <c r="A52" s="45"/>
      <c r="D52" s="1"/>
      <c r="E52" s="1"/>
      <c r="F52" s="1"/>
    </row>
    <row r="53" spans="1:6" x14ac:dyDescent="0.2">
      <c r="A53" s="45"/>
      <c r="D53" s="1"/>
      <c r="E53" s="1"/>
      <c r="F53" s="1"/>
    </row>
    <row r="62" spans="1:6" x14ac:dyDescent="0.2">
      <c r="B62" s="330"/>
      <c r="C62" s="330"/>
    </row>
    <row r="63" spans="1:6" x14ac:dyDescent="0.2">
      <c r="B63" s="330"/>
      <c r="C63" s="330"/>
    </row>
    <row r="64" spans="1:6" x14ac:dyDescent="0.2">
      <c r="B64" s="330"/>
      <c r="C64" s="330"/>
    </row>
    <row r="65" spans="2:3" x14ac:dyDescent="0.2">
      <c r="B65" s="330"/>
      <c r="C65" s="393"/>
    </row>
    <row r="66" spans="2:3" x14ac:dyDescent="0.2">
      <c r="B66" s="330"/>
      <c r="C66" s="330"/>
    </row>
  </sheetData>
  <pageMargins left="0.25" right="0.25" top="0.75" bottom="0.75" header="0.3" footer="0.3"/>
  <pageSetup paperSize="8" fitToHeight="0" orientation="landscape" r:id="rId1"/>
  <headerFooter>
    <oddHeader>&amp;R&amp;D</oddHeader>
    <oddFooter>&amp;L&amp;F / &amp;A&amp;R&amp;P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6"/>
  <sheetViews>
    <sheetView showGridLines="0" zoomScaleNormal="100" workbookViewId="0">
      <pane xSplit="2" ySplit="14" topLeftCell="C15" activePane="bottomRight" state="frozen"/>
      <selection activeCell="D36" sqref="D36:E36"/>
      <selection pane="topRight" activeCell="D36" sqref="D36:E36"/>
      <selection pane="bottomLeft" activeCell="D36" sqref="D36:E36"/>
      <selection pane="bottomRight"/>
    </sheetView>
  </sheetViews>
  <sheetFormatPr baseColWidth="10" defaultColWidth="11" defaultRowHeight="12.75" x14ac:dyDescent="0.2"/>
  <cols>
    <col min="1" max="1" width="1.75" style="65" customWidth="1"/>
    <col min="2" max="2" width="40.625" style="65" customWidth="1"/>
    <col min="3" max="3" width="30.625" style="65" customWidth="1"/>
    <col min="4" max="5" width="40.625" style="65" customWidth="1"/>
    <col min="6" max="6" width="11.25" style="65" bestFit="1" customWidth="1"/>
    <col min="7" max="7" width="30.625" style="65" customWidth="1"/>
    <col min="8" max="9" width="40.625" style="65" customWidth="1"/>
    <col min="10" max="16384" width="11" style="65"/>
  </cols>
  <sheetData>
    <row r="1" spans="1:10" ht="13.5" thickBot="1" x14ac:dyDescent="0.25">
      <c r="B1" s="67"/>
      <c r="E1" s="246" t="s">
        <v>736</v>
      </c>
      <c r="F1" s="328"/>
      <c r="I1" s="246" t="s">
        <v>521</v>
      </c>
      <c r="J1" s="247"/>
    </row>
    <row r="2" spans="1:10" x14ac:dyDescent="0.2">
      <c r="B2" s="417" t="s">
        <v>359</v>
      </c>
      <c r="C2" s="418"/>
      <c r="E2" s="382" t="str">
        <f>B15</f>
        <v>Origine de la rénovation</v>
      </c>
      <c r="F2" s="387">
        <f>SUM(F16)</f>
        <v>4</v>
      </c>
      <c r="I2" s="382" t="str">
        <f t="shared" ref="I2:I7" si="0">E2</f>
        <v>Origine de la rénovation</v>
      </c>
      <c r="J2" s="382">
        <f>SUM(J16)</f>
        <v>4</v>
      </c>
    </row>
    <row r="3" spans="1:10" x14ac:dyDescent="0.2">
      <c r="B3" s="419" t="s">
        <v>339</v>
      </c>
      <c r="C3" s="420">
        <v>0.15</v>
      </c>
      <c r="D3" s="825" t="s">
        <v>508</v>
      </c>
      <c r="E3" s="382" t="str">
        <f>B18</f>
        <v>Montage du projet</v>
      </c>
      <c r="F3" s="387">
        <f>SUM(F19:F24)</f>
        <v>10</v>
      </c>
      <c r="I3" s="382" t="str">
        <f t="shared" si="0"/>
        <v>Montage du projet</v>
      </c>
      <c r="J3" s="382">
        <f>SUM(J19:J24)</f>
        <v>10</v>
      </c>
    </row>
    <row r="4" spans="1:10" ht="13.5" thickBot="1" x14ac:dyDescent="0.25">
      <c r="B4" s="421" t="s">
        <v>340</v>
      </c>
      <c r="C4" s="422">
        <v>0</v>
      </c>
      <c r="D4" s="825"/>
      <c r="E4" s="382" t="str">
        <f>B26</f>
        <v>Conception</v>
      </c>
      <c r="F4" s="387">
        <f>SUM(F27:F28)</f>
        <v>4</v>
      </c>
      <c r="I4" s="382" t="str">
        <f t="shared" si="0"/>
        <v>Conception</v>
      </c>
      <c r="J4" s="382">
        <f>SUM(J27:J28)</f>
        <v>4</v>
      </c>
    </row>
    <row r="5" spans="1:10" x14ac:dyDescent="0.2">
      <c r="B5" s="67"/>
      <c r="E5" s="382" t="str">
        <f>B30</f>
        <v>Réalisation</v>
      </c>
      <c r="F5" s="387">
        <f>SUM(F31:F34)</f>
        <v>8</v>
      </c>
      <c r="I5" s="382" t="str">
        <f t="shared" si="0"/>
        <v>Réalisation</v>
      </c>
      <c r="J5" s="382">
        <f>SUM(J31:J34)</f>
        <v>8</v>
      </c>
    </row>
    <row r="6" spans="1:10" ht="13.5" thickBot="1" x14ac:dyDescent="0.25">
      <c r="B6" s="67"/>
      <c r="E6" s="383" t="str">
        <f>B36</f>
        <v>Commissionnement</v>
      </c>
      <c r="F6" s="388">
        <f>SUM(F37:F38)</f>
        <v>1</v>
      </c>
      <c r="I6" s="383" t="str">
        <f t="shared" si="0"/>
        <v>Commissionnement</v>
      </c>
      <c r="J6" s="383">
        <f>SUM(J37:J38)</f>
        <v>1</v>
      </c>
    </row>
    <row r="7" spans="1:10" ht="13.5" thickBot="1" x14ac:dyDescent="0.25">
      <c r="B7" s="423" t="s">
        <v>498</v>
      </c>
      <c r="C7" s="424"/>
      <c r="E7" s="384" t="str">
        <f>B40</f>
        <v>Exploitation</v>
      </c>
      <c r="F7" s="427">
        <f>SUM(F41:F44)</f>
        <v>10</v>
      </c>
      <c r="I7" s="384" t="str">
        <f t="shared" si="0"/>
        <v>Exploitation</v>
      </c>
      <c r="J7" s="384">
        <f>SUM(J41:J44)</f>
        <v>10</v>
      </c>
    </row>
    <row r="8" spans="1:10" ht="14.25" thickTop="1" thickBot="1" x14ac:dyDescent="0.25">
      <c r="B8" s="419" t="s">
        <v>339</v>
      </c>
      <c r="C8" s="425">
        <v>0.1</v>
      </c>
      <c r="D8" s="825" t="s">
        <v>508</v>
      </c>
      <c r="E8" s="622" t="s">
        <v>319</v>
      </c>
      <c r="F8" s="623">
        <f>SUM(F2:F7)</f>
        <v>37</v>
      </c>
      <c r="I8" s="124" t="s">
        <v>320</v>
      </c>
      <c r="J8" s="124">
        <f>SUM(J2:J7)</f>
        <v>37</v>
      </c>
    </row>
    <row r="9" spans="1:10" ht="13.5" thickBot="1" x14ac:dyDescent="0.25">
      <c r="B9" s="421" t="s">
        <v>340</v>
      </c>
      <c r="C9" s="426">
        <v>0</v>
      </c>
      <c r="D9" s="825"/>
      <c r="E9" s="624" t="s">
        <v>357</v>
      </c>
      <c r="F9" s="625">
        <f>METHODOLOGIE!$C$3-SUM(F2:F5)*(METHODOLOGIE!$C$3-METHODOLOGIE!$C$4)/BD_METHODOLOGIE!$C$2</f>
        <v>5.9302325581395351E-2</v>
      </c>
      <c r="I9" s="382" t="str">
        <f>E9</f>
        <v>Impact de la méthodologie sur l'investissement</v>
      </c>
      <c r="J9" s="385">
        <f>METHODOLOGIE!$C$3-SUM(J2:J5)*(METHODOLOGIE!$C$3-METHODOLOGIE!$C$4)/BD_METHODOLOGIE!$C$2</f>
        <v>5.9302325581395351E-2</v>
      </c>
    </row>
    <row r="10" spans="1:10" x14ac:dyDescent="0.2">
      <c r="B10" s="67"/>
      <c r="E10" s="382" t="s">
        <v>509</v>
      </c>
      <c r="F10" s="428">
        <f>Investissement</f>
        <v>825000</v>
      </c>
      <c r="I10" s="382" t="s">
        <v>509</v>
      </c>
      <c r="J10" s="386">
        <f>Investissement</f>
        <v>825000</v>
      </c>
    </row>
    <row r="11" spans="1:10" ht="13.5" thickBot="1" x14ac:dyDescent="0.25">
      <c r="B11" s="67"/>
      <c r="E11" s="626" t="s">
        <v>358</v>
      </c>
      <c r="F11" s="627">
        <f>Investissement+F9*Investissement</f>
        <v>873924.41860465112</v>
      </c>
      <c r="I11" s="382" t="str">
        <f>E11</f>
        <v>Investissement impacté par la méthodologie</v>
      </c>
      <c r="J11" s="386">
        <f>Investissement+J9*Investissement</f>
        <v>873924.41860465112</v>
      </c>
    </row>
    <row r="12" spans="1:10" x14ac:dyDescent="0.2">
      <c r="B12" s="67"/>
      <c r="E12" s="788" t="s">
        <v>755</v>
      </c>
      <c r="F12" s="628">
        <f>METHODOLOGIE!$C$8-SUM(F6:F7)*(METHODOLOGIE!$C$8-METHODOLOGIE!$C$9)/BD_METHODOLOGIE!$C$6</f>
        <v>4.7619047619047623E-2</v>
      </c>
      <c r="I12" s="383" t="s">
        <v>755</v>
      </c>
      <c r="J12" s="628">
        <f>METHODOLOGIE!$C$8-SUM(J6:J7)*(METHODOLOGIE!$C$8-METHODOLOGIE!$C$9)/BD_METHODOLOGIE!$C$6</f>
        <v>4.7619047619047623E-2</v>
      </c>
    </row>
    <row r="13" spans="1:10" x14ac:dyDescent="0.2">
      <c r="B13" s="67"/>
      <c r="E13" s="620"/>
      <c r="F13" s="621"/>
      <c r="I13" s="620"/>
      <c r="J13" s="621"/>
    </row>
    <row r="14" spans="1:10" s="635" customFormat="1" ht="16.5" thickBot="1" x14ac:dyDescent="0.25">
      <c r="A14" s="633"/>
      <c r="B14" s="634" t="s">
        <v>317</v>
      </c>
      <c r="C14" s="822" t="s">
        <v>180</v>
      </c>
      <c r="D14" s="823"/>
      <c r="E14" s="823"/>
      <c r="F14" s="824"/>
      <c r="G14" s="822" t="s">
        <v>181</v>
      </c>
      <c r="H14" s="823"/>
      <c r="I14" s="823"/>
      <c r="J14" s="824"/>
    </row>
    <row r="15" spans="1:10" x14ac:dyDescent="0.2">
      <c r="A15" s="146"/>
      <c r="B15" s="145" t="s">
        <v>225</v>
      </c>
      <c r="C15" s="147" t="s">
        <v>149</v>
      </c>
      <c r="D15" s="148" t="s">
        <v>43</v>
      </c>
      <c r="E15" s="148" t="s">
        <v>150</v>
      </c>
      <c r="F15" s="149" t="s">
        <v>226</v>
      </c>
      <c r="G15" s="147" t="s">
        <v>149</v>
      </c>
      <c r="H15" s="148" t="s">
        <v>43</v>
      </c>
      <c r="I15" s="148" t="s">
        <v>150</v>
      </c>
      <c r="J15" s="149" t="s">
        <v>226</v>
      </c>
    </row>
    <row r="16" spans="1:10" ht="25.5" x14ac:dyDescent="0.2">
      <c r="B16" s="69" t="str">
        <f>BD_METHODOLOGIE!B13</f>
        <v>Origine de la rénovation</v>
      </c>
      <c r="C16" s="70" t="s">
        <v>384</v>
      </c>
      <c r="D16" s="68" t="str">
        <f>VLOOKUP(C16,BD_METHODOLOGIE!$B$14:$E$21,2)</f>
        <v>Apporte une bonne connaissance de la résidence</v>
      </c>
      <c r="E16" s="68" t="str">
        <f>VLOOKUP(C16,BD_METHODOLOGIE!$B$14:$E$21,3)</f>
        <v>-</v>
      </c>
      <c r="F16" s="69">
        <f>IF(C16=0,0,VLOOKUP(C16,BD_METHODOLOGIE!$B$14:$E$21,4))</f>
        <v>4</v>
      </c>
      <c r="G16" s="70" t="str">
        <f>C16</f>
        <v>Au moins 2 retours (audit, enquêtes etc.)</v>
      </c>
      <c r="H16" s="68" t="str">
        <f>VLOOKUP(G16,BD_METHODOLOGIE!$B$14:$E$21,2)</f>
        <v>Apporte une bonne connaissance de la résidence</v>
      </c>
      <c r="I16" s="68" t="str">
        <f>VLOOKUP(G16,BD_METHODOLOGIE!$B$14:$E$21,3)</f>
        <v>-</v>
      </c>
      <c r="J16" s="69">
        <f>IF(G16=0,0,VLOOKUP(G16,BD_METHODOLOGIE!$B$14:$E$21,4))</f>
        <v>4</v>
      </c>
    </row>
    <row r="17" spans="1:10" x14ac:dyDescent="0.2">
      <c r="B17" s="67"/>
      <c r="C17" s="66"/>
      <c r="E17" s="71"/>
      <c r="F17" s="120"/>
      <c r="G17" s="66"/>
      <c r="I17" s="71"/>
      <c r="J17" s="120"/>
    </row>
    <row r="18" spans="1:10" x14ac:dyDescent="0.2">
      <c r="A18" s="146"/>
      <c r="B18" s="145" t="s">
        <v>304</v>
      </c>
      <c r="C18" s="147" t="s">
        <v>149</v>
      </c>
      <c r="D18" s="148" t="s">
        <v>43</v>
      </c>
      <c r="E18" s="148" t="s">
        <v>150</v>
      </c>
      <c r="F18" s="149" t="s">
        <v>226</v>
      </c>
      <c r="G18" s="147" t="s">
        <v>149</v>
      </c>
      <c r="H18" s="148" t="s">
        <v>43</v>
      </c>
      <c r="I18" s="148" t="s">
        <v>150</v>
      </c>
      <c r="J18" s="149" t="s">
        <v>226</v>
      </c>
    </row>
    <row r="19" spans="1:10" ht="38.25" x14ac:dyDescent="0.2">
      <c r="B19" s="69" t="str">
        <f>BD_METHODOLOGIE!B24</f>
        <v>Démarche de labellisation environnementale</v>
      </c>
      <c r="C19" s="70" t="s">
        <v>229</v>
      </c>
      <c r="D19" s="68" t="str">
        <f>VLOOKUP(C19,BD_METHODOLOGIE!$B$25:$E$28,2)</f>
        <v>-</v>
      </c>
      <c r="E19" s="68" t="str">
        <f>VLOOKUP(C19,BD_METHODOLOGIE!$B$25:$E$28,3)</f>
        <v>Mettre en évidence les points bloquants  et s'informer des démarches possibles et de leurs bénéfices</v>
      </c>
      <c r="F19" s="69">
        <f>IF(C19=0,0,VLOOKUP(C19,BD_METHODOLOGIE!$B$25:$E$28,4))</f>
        <v>0</v>
      </c>
      <c r="G19" s="70" t="str">
        <f>C19</f>
        <v>Non, pas de démarche de labellisation environnementale</v>
      </c>
      <c r="H19" s="68" t="str">
        <f>VLOOKUP(G19,BD_METHODOLOGIE!$B$25:$E$28,2)</f>
        <v>-</v>
      </c>
      <c r="I19" s="68" t="str">
        <f>VLOOKUP(G19,BD_METHODOLOGIE!$B$25:$E$28,3)</f>
        <v>Mettre en évidence les points bloquants  et s'informer des démarches possibles et de leurs bénéfices</v>
      </c>
      <c r="J19" s="69">
        <f>IF(G19=0,0,VLOOKUP(G19,BD_METHODOLOGIE!$B$25:$E$28,4))</f>
        <v>0</v>
      </c>
    </row>
    <row r="20" spans="1:10" ht="25.5" x14ac:dyDescent="0.2">
      <c r="B20" s="69" t="str">
        <f>BD_METHODOLOGIE!B30</f>
        <v>Mobilisation des services</v>
      </c>
      <c r="C20" s="70" t="s">
        <v>392</v>
      </c>
      <c r="D20" s="68" t="str">
        <f>VLOOKUP(C20,BD_METHODOLOGIE!$B$31:$E$34,2)</f>
        <v>-</v>
      </c>
      <c r="E20" s="68" t="str">
        <f>VLOOKUP(C20,BD_METHODOLOGIE!$B$31:$E$34,3)</f>
        <v>-</v>
      </c>
      <c r="F20" s="69">
        <f>IF(C20=0,0,VLOOKUP(C20,BD_METHODOLOGIE!$B$31:$E$34,4))</f>
        <v>3</v>
      </c>
      <c r="G20" s="70" t="str">
        <f t="shared" ref="G20:G21" si="1">C20</f>
        <v>Existence d'un comité de pilotage en interne</v>
      </c>
      <c r="H20" s="68" t="str">
        <f>VLOOKUP(G20,BD_METHODOLOGIE!$B$31:$E$34,2)</f>
        <v>-</v>
      </c>
      <c r="I20" s="68" t="str">
        <f>VLOOKUP(G20,BD_METHODOLOGIE!$B$31:$E$34,3)</f>
        <v>-</v>
      </c>
      <c r="J20" s="69">
        <f>IF(G20=0,0,VLOOKUP(G20,BD_METHODOLOGIE!$B$31:$E$34,4))</f>
        <v>3</v>
      </c>
    </row>
    <row r="21" spans="1:10" ht="25.5" x14ac:dyDescent="0.2">
      <c r="B21" s="69" t="str">
        <f>BD_METHODOLOGIE!B36</f>
        <v>Présence d'un AMO</v>
      </c>
      <c r="C21" s="70" t="s">
        <v>389</v>
      </c>
      <c r="D21" s="68" t="str">
        <f>VLOOKUP(C21,BD_METHODOLOGIE!$B$37:$E$40,2)</f>
        <v>-</v>
      </c>
      <c r="E21" s="68" t="str">
        <f>VLOOKUP(C21,BD_METHODOLOGIE!$B$37:$E$40,3)</f>
        <v>-</v>
      </c>
      <c r="F21" s="69">
        <f>IF(C21=0,0,VLOOKUP(C21,BD_METHODOLOGIE!$B$37:$E$40,4))</f>
        <v>3</v>
      </c>
      <c r="G21" s="70" t="str">
        <f t="shared" si="1"/>
        <v>Oui, présence d'un AMO - compétence interne</v>
      </c>
      <c r="H21" s="68" t="str">
        <f>VLOOKUP(G21,BD_METHODOLOGIE!$B$37:$E$40,2)</f>
        <v>-</v>
      </c>
      <c r="I21" s="68" t="str">
        <f>VLOOKUP(G21,BD_METHODOLOGIE!$B$37:$E$40,3)</f>
        <v>-</v>
      </c>
      <c r="J21" s="69">
        <f>IF(G21=0,0,VLOOKUP(G21,BD_METHODOLOGIE!$B$37:$E$40,4))</f>
        <v>3</v>
      </c>
    </row>
    <row r="22" spans="1:10" ht="25.5" x14ac:dyDescent="0.2">
      <c r="B22" s="69" t="str">
        <f>BD_METHODOLOGIE!B42</f>
        <v>Etendue de la mission de l'AMO</v>
      </c>
      <c r="C22" s="70" t="s">
        <v>231</v>
      </c>
      <c r="D22" s="68" t="str">
        <f>VLOOKUP(C22,BD_METHODOLOGIE!$B$43:$E$47,2)</f>
        <v>Le suivi des résultat atteints et l'optimisation du projet sont indispensables à la réussite du projet</v>
      </c>
      <c r="E22" s="68" t="str">
        <f>VLOOKUP(C22,BD_METHODOLOGIE!$B$43:$E$47,3)</f>
        <v>Ajouter à la mission de MOE une mission de commissionnement</v>
      </c>
      <c r="F22" s="69">
        <f>IF(C22=0,0,VLOOKUP(C22,BD_METHODOLOGIE!$B$43:$E$47,4))</f>
        <v>2</v>
      </c>
      <c r="G22" s="70" t="str">
        <f>C22</f>
        <v>Mission de la phase programmation à la réception</v>
      </c>
      <c r="H22" s="68" t="str">
        <f>VLOOKUP(G22,BD_METHODOLOGIE!$B$43:$E$47,2)</f>
        <v>Le suivi des résultat atteints et l'optimisation du projet sont indispensables à la réussite du projet</v>
      </c>
      <c r="I22" s="68" t="str">
        <f>VLOOKUP(G22,BD_METHODOLOGIE!$B$43:$E$47,3)</f>
        <v>Ajouter à la mission de MOE une mission de commissionnement</v>
      </c>
      <c r="J22" s="69">
        <f>IF(G22=0,0,VLOOKUP(G22,BD_METHODOLOGIE!$B$43:$E$47,4))</f>
        <v>2</v>
      </c>
    </row>
    <row r="23" spans="1:10" ht="38.25" x14ac:dyDescent="0.2">
      <c r="B23" s="69" t="str">
        <f>BD_METHODOLOGIE!B49</f>
        <v>Points critiques</v>
      </c>
      <c r="C23" s="70" t="s">
        <v>404</v>
      </c>
      <c r="D23" s="68" t="str">
        <f>VLOOKUP(C23,BD_METHODOLOGIE!$B$50:$E$52,2)</f>
        <v>Anticiper les risques permet de les éviter</v>
      </c>
      <c r="E23" s="68" t="str">
        <f>VLOOKUP(C23,BD_METHODOLOGIE!$B$50:$E$52,3)</f>
        <v xml:space="preserve">Evaluer et lister au mieux tous les risques futurs de dysfonctionnement et anticiper par un contrôle continu </v>
      </c>
      <c r="F23" s="69">
        <f>IF(C23=0,0,VLOOKUP(C23,BD_METHODOLOGIE!$B$50:$E$52,4))</f>
        <v>0</v>
      </c>
      <c r="G23" s="70" t="str">
        <f>C23</f>
        <v>Pas de notion de points critiques clairement identifiée</v>
      </c>
      <c r="H23" s="68" t="str">
        <f>VLOOKUP(G23,BD_METHODOLOGIE!$B$50:$E$52,2)</f>
        <v>Anticiper les risques permet de les éviter</v>
      </c>
      <c r="I23" s="68" t="str">
        <f>VLOOKUP(G23,BD_METHODOLOGIE!$B$50:$E$52,3)</f>
        <v xml:space="preserve">Evaluer et lister au mieux tous les risques futurs de dysfonctionnement et anticiper par un contrôle continu </v>
      </c>
      <c r="J23" s="69">
        <f>IF(G23=0,0,VLOOKUP(G23,BD_METHODOLOGIE!$B$50:$E$52,4))</f>
        <v>0</v>
      </c>
    </row>
    <row r="24" spans="1:10" ht="25.5" x14ac:dyDescent="0.2">
      <c r="B24" s="69" t="str">
        <f>BD_METHODOLOGIE!B54</f>
        <v>Pièces constitutives des dossiers de consultation</v>
      </c>
      <c r="C24" s="70" t="s">
        <v>406</v>
      </c>
      <c r="D24" s="68" t="str">
        <f>VLOOKUP(C24,BD_METHODOLOGIE!$B$55:$E$58,2)</f>
        <v xml:space="preserve">Permet une sensibilisation du prestataire </v>
      </c>
      <c r="E24" s="68" t="str">
        <f>VLOOKUP(C24,BD_METHODOLOGIE!$B$55:$E$58,3)</f>
        <v>-</v>
      </c>
      <c r="F24" s="69">
        <f>IF(C24=0,0,VLOOKUP(C24,BD_METHODOLOGIE!$B$55:$E$58,4))</f>
        <v>2</v>
      </c>
      <c r="G24" s="70" t="str">
        <f>C24</f>
        <v>Prise en compte des retours d'expérience RHEA</v>
      </c>
      <c r="H24" s="68" t="str">
        <f>VLOOKUP(G24,BD_METHODOLOGIE!$B$55:$E$58,2)</f>
        <v xml:space="preserve">Permet une sensibilisation du prestataire </v>
      </c>
      <c r="I24" s="68" t="str">
        <f>VLOOKUP(G24,BD_METHODOLOGIE!$B$55:$E$58,3)</f>
        <v>-</v>
      </c>
      <c r="J24" s="69">
        <f>IF(G24=0,0,VLOOKUP(G24,BD_METHODOLOGIE!$B$55:$E$58,4))</f>
        <v>2</v>
      </c>
    </row>
    <row r="25" spans="1:10" x14ac:dyDescent="0.2">
      <c r="B25" s="67"/>
      <c r="C25" s="66"/>
      <c r="E25" s="71"/>
      <c r="F25" s="120"/>
      <c r="G25" s="66"/>
      <c r="I25" s="71"/>
      <c r="J25" s="120"/>
    </row>
    <row r="26" spans="1:10" x14ac:dyDescent="0.2">
      <c r="A26" s="146"/>
      <c r="B26" s="145" t="s">
        <v>190</v>
      </c>
      <c r="C26" s="147" t="s">
        <v>149</v>
      </c>
      <c r="D26" s="148" t="s">
        <v>43</v>
      </c>
      <c r="E26" s="148" t="s">
        <v>150</v>
      </c>
      <c r="F26" s="149" t="s">
        <v>226</v>
      </c>
      <c r="G26" s="147" t="s">
        <v>149</v>
      </c>
      <c r="H26" s="148" t="s">
        <v>43</v>
      </c>
      <c r="I26" s="148" t="s">
        <v>150</v>
      </c>
      <c r="J26" s="149" t="s">
        <v>226</v>
      </c>
    </row>
    <row r="27" spans="1:10" ht="25.5" x14ac:dyDescent="0.2">
      <c r="B27" s="69" t="str">
        <f>BD_METHODOLOGIE!B61</f>
        <v>Etudes complémentaires prévues</v>
      </c>
      <c r="C27" s="70" t="s">
        <v>401</v>
      </c>
      <c r="D27" s="68" t="str">
        <f>VLOOKUP(C27,BD_METHODOLOGIE!$B$62:$E$64,2)</f>
        <v>Apporte une solidité aux choix de conception</v>
      </c>
      <c r="E27" s="68" t="str">
        <f>VLOOKUP(C27,BD_METHODOLOGIE!$B$62:$E$64,3)</f>
        <v>-</v>
      </c>
      <c r="F27" s="69">
        <f>IF(C27=0,0,VLOOKUP(C27,BD_METHODOLOGIE!$B$62:$E$64,4))</f>
        <v>2</v>
      </c>
      <c r="G27" s="70" t="str">
        <f t="shared" ref="G27:G28" si="2">C27</f>
        <v>Notes d'opportunité et préfaisabilités énergies renouvelables affinées</v>
      </c>
      <c r="H27" s="68" t="str">
        <f>VLOOKUP(G27,BD_METHODOLOGIE!$B$62:$E$64,2)</f>
        <v>Apporte une solidité aux choix de conception</v>
      </c>
      <c r="I27" s="68" t="str">
        <f>VLOOKUP(G27,BD_METHODOLOGIE!$B$62:$E$64,3)</f>
        <v>-</v>
      </c>
      <c r="J27" s="69">
        <f>IF(G27=0,0,VLOOKUP(G27,BD_METHODOLOGIE!$B$62:$E$64,4))</f>
        <v>2</v>
      </c>
    </row>
    <row r="28" spans="1:10" ht="25.5" x14ac:dyDescent="0.2">
      <c r="B28" s="69" t="str">
        <f>BD_METHODOLOGIE!B66</f>
        <v>Compétences MOE</v>
      </c>
      <c r="C28" s="70" t="s">
        <v>400</v>
      </c>
      <c r="D28" s="68" t="str">
        <f>VLOOKUP(C28,BD_METHODOLOGIE!$B$67:$E$69,2)</f>
        <v>A adapter aux projets et situations</v>
      </c>
      <c r="E28" s="68" t="str">
        <f>VLOOKUP(C28,BD_METHODOLOGIE!$B$67:$E$69,3)</f>
        <v>-</v>
      </c>
      <c r="F28" s="69">
        <f>IF(C28=0,0,VLOOKUP(C28,BD_METHODOLOGIE!$B$67:$E$69,4))</f>
        <v>2</v>
      </c>
      <c r="G28" s="70" t="str">
        <f t="shared" si="2"/>
        <v>Autres compétences demandées (acoustique, paysagiste, socio, QE...)</v>
      </c>
      <c r="H28" s="68" t="str">
        <f>VLOOKUP(G28,BD_METHODOLOGIE!$B$67:$E$69,2)</f>
        <v>A adapter aux projets et situations</v>
      </c>
      <c r="I28" s="68" t="str">
        <f>VLOOKUP(G28,BD_METHODOLOGIE!$B$67:$E$69,3)</f>
        <v>-</v>
      </c>
      <c r="J28" s="69">
        <f>IF(G28=0,0,VLOOKUP(G28,BD_METHODOLOGIE!$B$67:$E$69,4))</f>
        <v>2</v>
      </c>
    </row>
    <row r="29" spans="1:10" x14ac:dyDescent="0.2">
      <c r="B29" s="67"/>
      <c r="C29" s="66"/>
      <c r="E29" s="71"/>
      <c r="F29" s="120"/>
      <c r="G29" s="66"/>
      <c r="I29" s="71"/>
      <c r="J29" s="120"/>
    </row>
    <row r="30" spans="1:10" x14ac:dyDescent="0.2">
      <c r="A30" s="146"/>
      <c r="B30" s="145" t="s">
        <v>191</v>
      </c>
      <c r="C30" s="147" t="s">
        <v>149</v>
      </c>
      <c r="D30" s="148" t="s">
        <v>43</v>
      </c>
      <c r="E30" s="148" t="s">
        <v>150</v>
      </c>
      <c r="F30" s="149" t="s">
        <v>226</v>
      </c>
      <c r="G30" s="147" t="s">
        <v>149</v>
      </c>
      <c r="H30" s="148" t="s">
        <v>43</v>
      </c>
      <c r="I30" s="148" t="s">
        <v>150</v>
      </c>
      <c r="J30" s="149" t="s">
        <v>226</v>
      </c>
    </row>
    <row r="31" spans="1:10" ht="38.25" x14ac:dyDescent="0.2">
      <c r="B31" s="69" t="str">
        <f>BD_METHODOLOGIE!B72</f>
        <v>Choix des entreprises</v>
      </c>
      <c r="C31" s="70" t="s">
        <v>652</v>
      </c>
      <c r="D31" s="68" t="str">
        <f>VLOOKUP(C31,BD_METHODOLOGIE!$B$73:$E$75,2)</f>
        <v>Amène un minimum de garantie à la qualité de services</v>
      </c>
      <c r="E31" s="68" t="str">
        <f>VLOOKUP(C31,BD_METHODOLOGIE!$B$73:$E$75,3)</f>
        <v>Faire en sorte de ne pas se limiter aux affirmations des entreprises - demander des justificatifs</v>
      </c>
      <c r="F31" s="69">
        <f>IF(C31=0,0,VLOOKUP(C31,BD_METHODOLOGIE!$B$73:$E$75,4))</f>
        <v>3</v>
      </c>
      <c r="G31" s="70" t="str">
        <f t="shared" ref="G31:G34" si="3">C31</f>
        <v>Références chantiers similaires et attestations MO prises en compte dans la notation</v>
      </c>
      <c r="H31" s="68" t="str">
        <f>VLOOKUP(G31,BD_METHODOLOGIE!$B$73:$E$75,2)</f>
        <v>Amène un minimum de garantie à la qualité de services</v>
      </c>
      <c r="I31" s="68" t="str">
        <f>VLOOKUP(G31,BD_METHODOLOGIE!$B$73:$E$75,3)</f>
        <v>Faire en sorte de ne pas se limiter aux affirmations des entreprises - demander des justificatifs</v>
      </c>
      <c r="J31" s="69">
        <f>IF(G31=0,0,VLOOKUP(G31,BD_METHODOLOGIE!$B$73:$E$75,4))</f>
        <v>3</v>
      </c>
    </row>
    <row r="32" spans="1:10" ht="25.5" x14ac:dyDescent="0.2">
      <c r="B32" s="69" t="str">
        <f>BD_METHODOLOGIE!B77</f>
        <v>Test étanchéité à l'air</v>
      </c>
      <c r="C32" s="70" t="s">
        <v>249</v>
      </c>
      <c r="D32" s="68" t="str">
        <f>VLOOKUP(C32,BD_METHODOLOGIE!$B$78:$E$82,2)</f>
        <v>Au moment de la réception, il est souvent trop tard pour corriger avec efficacité les défauts</v>
      </c>
      <c r="E32" s="68" t="str">
        <f>VLOOKUP(C32,BD_METHODOLOGIE!$B$78:$E$82,3)</f>
        <v>Prévoir d'ajouter des tests en cours de travaux</v>
      </c>
      <c r="F32" s="69">
        <f>IF(C32=0,0,VLOOKUP(C32,BD_METHODOLOGIE!$B$78:$E$82,4))</f>
        <v>1</v>
      </c>
      <c r="G32" s="70" t="str">
        <f>C32</f>
        <v>Un test est prévu à la réception</v>
      </c>
      <c r="H32" s="68" t="str">
        <f>VLOOKUP(G32,BD_METHODOLOGIE!$B$78:$E$82,2)</f>
        <v>Au moment de la réception, il est souvent trop tard pour corriger avec efficacité les défauts</v>
      </c>
      <c r="I32" s="68" t="str">
        <f>VLOOKUP(G32,BD_METHODOLOGIE!$B$78:$E$82,3)</f>
        <v>Prévoir d'ajouter des tests en cours de travaux</v>
      </c>
      <c r="J32" s="69">
        <f>IF(G32=0,0,VLOOKUP(G32,BD_METHODOLOGIE!$B$78:$E$82,4))</f>
        <v>1</v>
      </c>
    </row>
    <row r="33" spans="1:10" ht="25.5" x14ac:dyDescent="0.2">
      <c r="B33" s="69" t="str">
        <f>BD_METHODOLOGIE!B84</f>
        <v>Thermographie</v>
      </c>
      <c r="C33" s="70" t="s">
        <v>410</v>
      </c>
      <c r="D33" s="68" t="str">
        <f>VLOOKUP(C33,BD_METHODOLOGIE!$B$85:$E$89,2)</f>
        <v>Un contrôle permet de déceler les défauts, pas de vérifier s'ils ont été corrigés</v>
      </c>
      <c r="E33" s="68" t="str">
        <f>VLOOKUP(C33,BD_METHODOLOGIE!$B$85:$E$89,3)</f>
        <v>Prévoir d'ajouter des contrôles complémentaires de contrôle en cours de travaux</v>
      </c>
      <c r="F33" s="69">
        <f>IF(C33=0,0,VLOOKUP(C33,BD_METHODOLOGIE!$B$85:$E$89,4))</f>
        <v>2</v>
      </c>
      <c r="G33" s="70" t="str">
        <f t="shared" si="3"/>
        <v>Un contrôle est prévu avant et après travaux</v>
      </c>
      <c r="H33" s="68" t="str">
        <f>VLOOKUP(G33,BD_METHODOLOGIE!$B$85:$E$89,2)</f>
        <v>Un contrôle permet de déceler les défauts, pas de vérifier s'ils ont été corrigés</v>
      </c>
      <c r="I33" s="68" t="str">
        <f>VLOOKUP(G33,BD_METHODOLOGIE!$B$85:$E$89,3)</f>
        <v>Prévoir d'ajouter des contrôles complémentaires de contrôle en cours de travaux</v>
      </c>
      <c r="J33" s="69">
        <f>IF(G33=0,0,VLOOKUP(G33,BD_METHODOLOGIE!$B$85:$E$89,4))</f>
        <v>2</v>
      </c>
    </row>
    <row r="34" spans="1:10" ht="25.5" x14ac:dyDescent="0.2">
      <c r="B34" s="69" t="str">
        <f>BD_METHODOLOGIE!B91</f>
        <v>Suivi des déchets</v>
      </c>
      <c r="C34" s="70" t="s">
        <v>413</v>
      </c>
      <c r="D34" s="68" t="str">
        <f>VLOOKUP(C34,BD_METHODOLOGIE!$B$92:$E$95,2)</f>
        <v>Sensibilise l'entreprise sur les exigences du maître d'ouvrage</v>
      </c>
      <c r="E34" s="68" t="str">
        <f>VLOOKUP(C34,BD_METHODOLOGIE!$B$92:$E$95,3)</f>
        <v>Vérifier l'exhaustivité des déchets pris en compte</v>
      </c>
      <c r="F34" s="69">
        <f>IF(C34=0,0,VLOOKUP(C34,BD_METHODOLOGIE!$B$92:$E$95,4))</f>
        <v>2</v>
      </c>
      <c r="G34" s="70" t="str">
        <f t="shared" si="3"/>
        <v>L'entreprise doit élaborer un SOGED</v>
      </c>
      <c r="H34" s="68" t="str">
        <f>VLOOKUP(G34,BD_METHODOLOGIE!$B$92:$E$95,2)</f>
        <v>Sensibilise l'entreprise sur les exigences du maître d'ouvrage</v>
      </c>
      <c r="I34" s="68" t="str">
        <f>VLOOKUP(G34,BD_METHODOLOGIE!$B$92:$E$95,3)</f>
        <v>Vérifier l'exhaustivité des déchets pris en compte</v>
      </c>
      <c r="J34" s="69">
        <f>IF(G34=0,0,VLOOKUP(G34,BD_METHODOLOGIE!$B$92:$E$95,4))</f>
        <v>2</v>
      </c>
    </row>
    <row r="35" spans="1:10" x14ac:dyDescent="0.2">
      <c r="B35" s="67"/>
      <c r="C35" s="66"/>
      <c r="E35" s="71"/>
      <c r="F35" s="120"/>
      <c r="G35" s="66"/>
      <c r="I35" s="71"/>
      <c r="J35" s="120"/>
    </row>
    <row r="36" spans="1:10" x14ac:dyDescent="0.2">
      <c r="A36" s="146"/>
      <c r="B36" s="145" t="s">
        <v>192</v>
      </c>
      <c r="C36" s="147" t="s">
        <v>149</v>
      </c>
      <c r="D36" s="148" t="s">
        <v>43</v>
      </c>
      <c r="E36" s="148" t="s">
        <v>150</v>
      </c>
      <c r="F36" s="149" t="s">
        <v>226</v>
      </c>
      <c r="G36" s="147" t="s">
        <v>149</v>
      </c>
      <c r="H36" s="148" t="s">
        <v>43</v>
      </c>
      <c r="I36" s="148" t="s">
        <v>150</v>
      </c>
      <c r="J36" s="149" t="s">
        <v>226</v>
      </c>
    </row>
    <row r="37" spans="1:10" x14ac:dyDescent="0.2">
      <c r="B37" s="69" t="str">
        <f>BD_METHODOLOGIE!B98</f>
        <v xml:space="preserve">Encadrement </v>
      </c>
      <c r="C37" s="70" t="s">
        <v>416</v>
      </c>
      <c r="D37" s="68" t="str">
        <f>VLOOKUP(C37,BD_METHODOLOGIE!$B$99:$E$101,2)</f>
        <v>-</v>
      </c>
      <c r="E37" s="68" t="str">
        <f>VLOOKUP(C37,BD_METHODOLOGIE!$B$99:$E$101,3)</f>
        <v>-</v>
      </c>
      <c r="F37" s="69">
        <f>IF(C37=0,0,VLOOKUP(C37,BD_METHODOLOGIE!$B$99:$E$101,4))</f>
        <v>0</v>
      </c>
      <c r="G37" s="70" t="str">
        <f t="shared" ref="G37" si="4">C37</f>
        <v>Aucun commissionnement n'est prévu</v>
      </c>
      <c r="H37" s="68" t="str">
        <f>VLOOKUP(G37,BD_METHODOLOGIE!$B$99:$E$101,2)</f>
        <v>-</v>
      </c>
      <c r="I37" s="68" t="str">
        <f>VLOOKUP(G37,BD_METHODOLOGIE!$B$99:$E$101,3)</f>
        <v>-</v>
      </c>
      <c r="J37" s="69">
        <f>IF(G37=0,0,VLOOKUP(G37,BD_METHODOLOGIE!$B$99:$E$101,4))</f>
        <v>0</v>
      </c>
    </row>
    <row r="38" spans="1:10" ht="25.5" x14ac:dyDescent="0.2">
      <c r="B38" s="69" t="str">
        <f>BD_METHODOLOGIE!B103</f>
        <v>Réalisation</v>
      </c>
      <c r="C38" s="70" t="s">
        <v>419</v>
      </c>
      <c r="D38" s="68" t="str">
        <f>VLOOKUP(C38,BD_METHODOLOGIE!$B$104:$E$107,2)</f>
        <v>Sans commissionnement après réception, le bon fonctionnement n'est pas vérifié</v>
      </c>
      <c r="E38" s="68" t="str">
        <f>VLOOKUP(C38,BD_METHODOLOGIE!$B$104:$E$107,3)</f>
        <v>Prévoir une mission spécifique "commissionnement", pour la MOE et pour chaque entreprise</v>
      </c>
      <c r="F38" s="69">
        <f>IF(C38=0,0,VLOOKUP(C38,BD_METHODOLOGIE!$B$104:$E$107,4))</f>
        <v>1</v>
      </c>
      <c r="G38" s="70" t="str">
        <f>C38</f>
        <v>L'entreprise prévoit une mise en service simple par le fournisseur</v>
      </c>
      <c r="H38" s="68" t="str">
        <f>VLOOKUP(G38,BD_METHODOLOGIE!$B$104:$E$107,2)</f>
        <v>Sans commissionnement après réception, le bon fonctionnement n'est pas vérifié</v>
      </c>
      <c r="I38" s="68" t="str">
        <f>VLOOKUP(G38,BD_METHODOLOGIE!$B$104:$E$107,3)</f>
        <v>Prévoir une mission spécifique "commissionnement", pour la MOE et pour chaque entreprise</v>
      </c>
      <c r="J38" s="69">
        <f>IF(G38=0,0,VLOOKUP(G38,BD_METHODOLOGIE!$B$104:$E$107,4))</f>
        <v>1</v>
      </c>
    </row>
    <row r="39" spans="1:10" x14ac:dyDescent="0.2">
      <c r="B39" s="67"/>
      <c r="C39" s="66"/>
      <c r="E39" s="71"/>
      <c r="F39" s="120"/>
      <c r="G39" s="66"/>
      <c r="I39" s="71"/>
      <c r="J39" s="120"/>
    </row>
    <row r="40" spans="1:10" x14ac:dyDescent="0.2">
      <c r="A40" s="146"/>
      <c r="B40" s="145" t="s">
        <v>189</v>
      </c>
      <c r="C40" s="147" t="s">
        <v>149</v>
      </c>
      <c r="D40" s="148" t="s">
        <v>43</v>
      </c>
      <c r="E40" s="148" t="s">
        <v>150</v>
      </c>
      <c r="F40" s="149" t="s">
        <v>226</v>
      </c>
      <c r="G40" s="147" t="s">
        <v>149</v>
      </c>
      <c r="H40" s="148" t="s">
        <v>43</v>
      </c>
      <c r="I40" s="148" t="s">
        <v>150</v>
      </c>
      <c r="J40" s="149" t="s">
        <v>226</v>
      </c>
    </row>
    <row r="41" spans="1:10" ht="25.5" x14ac:dyDescent="0.2">
      <c r="B41" s="69" t="str">
        <f>BD_METHODOLOGIE!B110</f>
        <v>Suivi des consommations</v>
      </c>
      <c r="C41" s="70" t="s">
        <v>441</v>
      </c>
      <c r="D41" s="68" t="str">
        <f>VLOOKUP(C41,BD_METHODOLOGIE!$B$111:$E$116,2)</f>
        <v>Consommateur de main d'œuvre, et présente la difficulté de l'accès aux compteurs</v>
      </c>
      <c r="E41" s="68" t="str">
        <f>VLOOKUP(C41,BD_METHODOLOGIE!$B$111:$E$116,3)</f>
        <v>-</v>
      </c>
      <c r="F41" s="69">
        <f>IF(C41=0,0,VLOOKUP(C41,BD_METHODOLOGIE!$B$111:$E$116,4))</f>
        <v>3</v>
      </c>
      <c r="G41" s="70" t="str">
        <f t="shared" ref="G41:G44" si="5">C41</f>
        <v>Suivi manuel et exploitation des données</v>
      </c>
      <c r="H41" s="68" t="str">
        <f>VLOOKUP(G41,BD_METHODOLOGIE!$B$111:$E$116,2)</f>
        <v>Consommateur de main d'œuvre, et présente la difficulté de l'accès aux compteurs</v>
      </c>
      <c r="I41" s="68" t="str">
        <f>VLOOKUP(G41,BD_METHODOLOGIE!$B$111:$E$116,3)</f>
        <v>-</v>
      </c>
      <c r="J41" s="69">
        <f>IF(G41=0,0,VLOOKUP(G41,BD_METHODOLOGIE!$B$111:$E$116,4))</f>
        <v>3</v>
      </c>
    </row>
    <row r="42" spans="1:10" ht="25.5" x14ac:dyDescent="0.2">
      <c r="B42" s="69" t="str">
        <f>BD_METHODOLOGIE!B118</f>
        <v>Entretien systèmes de régulation</v>
      </c>
      <c r="C42" s="70" t="s">
        <v>279</v>
      </c>
      <c r="D42" s="68" t="str">
        <f>VLOOKUP(C42,BD_METHODOLOGIE!$B$119:$E$122,2)</f>
        <v>Les économies d'énergie commencent par une régulation fonctionnelle</v>
      </c>
      <c r="E42" s="68" t="str">
        <f>VLOOKUP(C42,BD_METHODOLOGIE!$B$119:$E$122,3)</f>
        <v>A inclure dans l'entretien annuel d'un autre système (chaudière par exemple)</v>
      </c>
      <c r="F42" s="69">
        <f>IF(C42=0,0,VLOOKUP(C42,BD_METHODOLOGIE!$B$119:$E$122,4))</f>
        <v>2</v>
      </c>
      <c r="G42" s="70" t="str">
        <f t="shared" si="5"/>
        <v>Contrôle annuel du fonctionnement</v>
      </c>
      <c r="H42" s="68" t="str">
        <f>VLOOKUP(G42,BD_METHODOLOGIE!$B$119:$E$122,2)</f>
        <v>Les économies d'énergie commencent par une régulation fonctionnelle</v>
      </c>
      <c r="I42" s="68" t="str">
        <f>VLOOKUP(G42,BD_METHODOLOGIE!$B$119:$E$122,3)</f>
        <v>A inclure dans l'entretien annuel d'un autre système (chaudière par exemple)</v>
      </c>
      <c r="J42" s="69">
        <f>IF(G42=0,0,VLOOKUP(G42,BD_METHODOLOGIE!$B$119:$E$122,4))</f>
        <v>2</v>
      </c>
    </row>
    <row r="43" spans="1:10" ht="25.5" x14ac:dyDescent="0.2">
      <c r="B43" s="69" t="str">
        <f>BD_METHODOLOGIE!B124</f>
        <v>Entretien systèmes de ventilation</v>
      </c>
      <c r="C43" s="70" t="s">
        <v>288</v>
      </c>
      <c r="D43" s="68" t="str">
        <f>VLOOKUP(C43,BD_METHODOLOGIE!$B$125:$E$129,2)</f>
        <v>Ne permet pas de déceler les dysfonctionnements cachés</v>
      </c>
      <c r="E43" s="68" t="str">
        <f>VLOOKUP(C43,BD_METHODOLOGIE!$B$125:$E$129,3)</f>
        <v>Mettre en place un entretien préventif</v>
      </c>
      <c r="F43" s="69">
        <f>IF(C43=0,0,VLOOKUP(C43,BD_METHODOLOGIE!$B$125:$E$129,4))</f>
        <v>1</v>
      </c>
      <c r="G43" s="70" t="str">
        <f>C43</f>
        <v>Entretien à la demande</v>
      </c>
      <c r="H43" s="68" t="str">
        <f>VLOOKUP(G43,BD_METHODOLOGIE!$B$125:$E$129,2)</f>
        <v>Ne permet pas de déceler les dysfonctionnements cachés</v>
      </c>
      <c r="I43" s="68" t="str">
        <f>VLOOKUP(G43,BD_METHODOLOGIE!$B$125:$E$129,3)</f>
        <v>Mettre en place un entretien préventif</v>
      </c>
      <c r="J43" s="69">
        <f>IF(G43=0,0,VLOOKUP(G43,BD_METHODOLOGIE!$B$125:$E$129,4))</f>
        <v>1</v>
      </c>
    </row>
    <row r="44" spans="1:10" ht="25.5" x14ac:dyDescent="0.2">
      <c r="B44" s="69" t="str">
        <f>BD_METHODOLOGIE!B131</f>
        <v>Suivi d'entretien des systèmes techniques</v>
      </c>
      <c r="C44" s="70" t="s">
        <v>301</v>
      </c>
      <c r="D44" s="68" t="str">
        <f>VLOOKUP(C44,BD_METHODOLOGIE!$B$132:$E$135,2)</f>
        <v>Le suivi d'exécution par un tiers permet de vérifier que les prestations sont faites dans les règles</v>
      </c>
      <c r="E44" s="68" t="str">
        <f>VLOOKUP(C44,BD_METHODOLOGIE!$B$132:$E$135,3)</f>
        <v>Faire établir un rapport annuel de suivi du contrat, avec recommandations sur son optimisation possible</v>
      </c>
      <c r="F44" s="69">
        <f>IF(C44=0,0,VLOOKUP(C44,BD_METHODOLOGIE!$B$132:$E$135,4))</f>
        <v>4</v>
      </c>
      <c r="G44" s="70" t="str">
        <f t="shared" si="5"/>
        <v>Entretien par contrats annuels avec suivi d'exécution</v>
      </c>
      <c r="H44" s="68" t="str">
        <f>VLOOKUP(G44,BD_METHODOLOGIE!$B$132:$E$135,2)</f>
        <v>Le suivi d'exécution par un tiers permet de vérifier que les prestations sont faites dans les règles</v>
      </c>
      <c r="I44" s="68" t="str">
        <f>VLOOKUP(G44,BD_METHODOLOGIE!$B$132:$E$135,3)</f>
        <v>Faire établir un rapport annuel de suivi du contrat, avec recommandations sur son optimisation possible</v>
      </c>
      <c r="J44" s="69">
        <f>IF(G44=0,0,VLOOKUP(G44,BD_METHODOLOGIE!$B$132:$E$135,4))</f>
        <v>4</v>
      </c>
    </row>
    <row r="45" spans="1:10" x14ac:dyDescent="0.2">
      <c r="F45" s="119"/>
      <c r="J45" s="119"/>
    </row>
    <row r="46" spans="1:10" x14ac:dyDescent="0.2">
      <c r="F46" s="119"/>
      <c r="J46" s="119"/>
    </row>
  </sheetData>
  <mergeCells count="4">
    <mergeCell ref="C14:F14"/>
    <mergeCell ref="G14:J14"/>
    <mergeCell ref="D3:D4"/>
    <mergeCell ref="D8:D9"/>
  </mergeCells>
  <conditionalFormatting sqref="F9 J9">
    <cfRule type="cellIs" dxfId="23" priority="7" operator="lessThan">
      <formula>0</formula>
    </cfRule>
    <cfRule type="cellIs" dxfId="22" priority="8" operator="greaterThan">
      <formula>0</formula>
    </cfRule>
  </conditionalFormatting>
  <conditionalFormatting sqref="F11 J11">
    <cfRule type="cellIs" dxfId="21" priority="5" operator="lessThan">
      <formula>Investissement</formula>
    </cfRule>
    <cfRule type="cellIs" dxfId="20" priority="6" operator="greaterThan">
      <formula>Investissement</formula>
    </cfRule>
  </conditionalFormatting>
  <conditionalFormatting sqref="F10">
    <cfRule type="cellIs" dxfId="19" priority="3" operator="lessThan">
      <formula>Investissement</formula>
    </cfRule>
    <cfRule type="cellIs" dxfId="18" priority="4" operator="greaterThan">
      <formula>Investissement</formula>
    </cfRule>
  </conditionalFormatting>
  <conditionalFormatting sqref="J10">
    <cfRule type="cellIs" dxfId="17" priority="1" operator="lessThan">
      <formula>Investissement</formula>
    </cfRule>
    <cfRule type="cellIs" dxfId="16" priority="2" operator="greaterThan">
      <formula>Investissement</formula>
    </cfRule>
  </conditionalFormatting>
  <dataValidations count="19">
    <dataValidation type="list" allowBlank="1" showInputMessage="1" showErrorMessage="1" sqref="C16 G16">
      <formula1>Lst_Origine</formula1>
    </dataValidation>
    <dataValidation type="list" allowBlank="1" showInputMessage="1" showErrorMessage="1" sqref="C19 G19">
      <formula1>Lst_LabelEnv</formula1>
    </dataValidation>
    <dataValidation type="list" allowBlank="1" showInputMessage="1" showErrorMessage="1" sqref="C20 G20">
      <formula1>Lst_MobServ</formula1>
    </dataValidation>
    <dataValidation type="list" allowBlank="1" showInputMessage="1" showErrorMessage="1" sqref="C21 G21">
      <formula1>Lst_AMO</formula1>
    </dataValidation>
    <dataValidation type="list" allowBlank="1" showInputMessage="1" showErrorMessage="1" sqref="C22 G22">
      <formula1>Lst_MissAMO</formula1>
    </dataValidation>
    <dataValidation type="list" allowBlank="1" showInputMessage="1" showErrorMessage="1" sqref="C23 G23">
      <formula1>Lst_PtsCri</formula1>
    </dataValidation>
    <dataValidation type="list" allowBlank="1" showInputMessage="1" showErrorMessage="1" sqref="C24 G24">
      <formula1>Lst_DossCons</formula1>
    </dataValidation>
    <dataValidation type="list" allowBlank="1" showInputMessage="1" showErrorMessage="1" sqref="C27 G27">
      <formula1>Lst_EtudeCompl</formula1>
    </dataValidation>
    <dataValidation type="list" allowBlank="1" showInputMessage="1" showErrorMessage="1" sqref="C28 G28">
      <formula1>Lst_CompMOE</formula1>
    </dataValidation>
    <dataValidation type="list" allowBlank="1" showInputMessage="1" showErrorMessage="1" sqref="C31 G31">
      <formula1>Lst_Entrep</formula1>
    </dataValidation>
    <dataValidation type="list" allowBlank="1" showInputMessage="1" showErrorMessage="1" sqref="C32 G32">
      <formula1>Lst_Etancheite</formula1>
    </dataValidation>
    <dataValidation type="list" allowBlank="1" showInputMessage="1" showErrorMessage="1" sqref="C33 G33">
      <formula1>Lst_Thermo</formula1>
    </dataValidation>
    <dataValidation type="list" allowBlank="1" showInputMessage="1" showErrorMessage="1" sqref="C34 G34">
      <formula1>Lst_Dechets</formula1>
    </dataValidation>
    <dataValidation type="list" allowBlank="1" showInputMessage="1" showErrorMessage="1" sqref="C37 G37">
      <formula1>Lst_Encadrement</formula1>
    </dataValidation>
    <dataValidation type="list" allowBlank="1" showInputMessage="1" showErrorMessage="1" sqref="C38 G38">
      <formula1>Lst_Realisation</formula1>
    </dataValidation>
    <dataValidation type="list" allowBlank="1" showInputMessage="1" showErrorMessage="1" sqref="C41 G41">
      <formula1>Lst_SuiviConso</formula1>
    </dataValidation>
    <dataValidation type="list" allowBlank="1" showInputMessage="1" showErrorMessage="1" sqref="C42 G42">
      <formula1>Lst_Regulation</formula1>
    </dataValidation>
    <dataValidation type="list" allowBlank="1" showInputMessage="1" showErrorMessage="1" sqref="C43 G43">
      <formula1>Lst_Ventilation</formula1>
    </dataValidation>
    <dataValidation type="list" allowBlank="1" showInputMessage="1" showErrorMessage="1" sqref="C44 G44">
      <formula1>Lst_Systech</formula1>
    </dataValidation>
  </dataValidations>
  <pageMargins left="0.23622047244094491" right="0.23622047244094491" top="0.74803149606299213" bottom="0.74803149606299213" header="0.31496062992125984" footer="0.31496062992125984"/>
  <pageSetup paperSize="8" scale="69" fitToHeight="0" orientation="landscape" r:id="rId1"/>
  <headerFooter>
    <oddHeader>&amp;R&amp;D</oddHeader>
    <oddFooter>&amp;L&amp;F / &amp;A&amp;R&amp;P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138"/>
  <sheetViews>
    <sheetView showZeros="0" zoomScale="115" zoomScaleNormal="115" workbookViewId="0">
      <pane xSplit="2" ySplit="10" topLeftCell="C11" activePane="bottomRight" state="frozen"/>
      <selection pane="topRight" activeCell="C1" sqref="C1"/>
      <selection pane="bottomLeft" activeCell="A11" sqref="A11"/>
      <selection pane="bottomRight" activeCell="I27" sqref="I27"/>
    </sheetView>
  </sheetViews>
  <sheetFormatPr baseColWidth="10" defaultColWidth="11" defaultRowHeight="12.75" x14ac:dyDescent="0.2"/>
  <cols>
    <col min="1" max="1" width="2.75" style="638" customWidth="1"/>
    <col min="2" max="2" width="40.625" style="638" customWidth="1"/>
    <col min="3" max="4" width="40.625" style="640" customWidth="1"/>
    <col min="5" max="5" width="10.75" style="640" customWidth="1"/>
    <col min="6" max="16384" width="11" style="643"/>
  </cols>
  <sheetData>
    <row r="1" spans="1:5" x14ac:dyDescent="0.2">
      <c r="B1" s="639"/>
      <c r="D1" s="641" t="s">
        <v>561</v>
      </c>
      <c r="E1" s="642"/>
    </row>
    <row r="2" spans="1:5" x14ac:dyDescent="0.2">
      <c r="B2" s="644" t="s">
        <v>519</v>
      </c>
      <c r="C2" s="645">
        <f>SUM(E2:E5)</f>
        <v>43</v>
      </c>
      <c r="D2" s="646" t="str">
        <f>B12</f>
        <v>Origine de la rénovation</v>
      </c>
      <c r="E2" s="646">
        <f>E12</f>
        <v>6</v>
      </c>
    </row>
    <row r="3" spans="1:5" x14ac:dyDescent="0.2">
      <c r="B3" s="639"/>
      <c r="D3" s="646" t="str">
        <f>B23</f>
        <v>Montage du projet</v>
      </c>
      <c r="E3" s="646">
        <f>E23</f>
        <v>18</v>
      </c>
    </row>
    <row r="4" spans="1:5" x14ac:dyDescent="0.2">
      <c r="B4" s="639"/>
      <c r="D4" s="646" t="str">
        <f>B60</f>
        <v>Conception</v>
      </c>
      <c r="E4" s="646">
        <f>E60</f>
        <v>4</v>
      </c>
    </row>
    <row r="5" spans="1:5" x14ac:dyDescent="0.2">
      <c r="B5" s="639"/>
      <c r="D5" s="646" t="str">
        <f>B71</f>
        <v>Réalisation</v>
      </c>
      <c r="E5" s="646">
        <f>E71</f>
        <v>15</v>
      </c>
    </row>
    <row r="6" spans="1:5" x14ac:dyDescent="0.2">
      <c r="B6" s="647" t="s">
        <v>520</v>
      </c>
      <c r="C6" s="645">
        <f>SUM(E6:E7)</f>
        <v>21</v>
      </c>
      <c r="D6" s="648" t="str">
        <f>B97</f>
        <v>Commissionnement</v>
      </c>
      <c r="E6" s="648">
        <f>E97</f>
        <v>5</v>
      </c>
    </row>
    <row r="7" spans="1:5" ht="13.5" thickBot="1" x14ac:dyDescent="0.25">
      <c r="B7" s="639"/>
      <c r="D7" s="649" t="str">
        <f>B109</f>
        <v>Exploitation</v>
      </c>
      <c r="E7" s="649">
        <f>E109</f>
        <v>16</v>
      </c>
    </row>
    <row r="8" spans="1:5" ht="13.5" thickTop="1" x14ac:dyDescent="0.2">
      <c r="B8" s="639"/>
      <c r="D8" s="650" t="s">
        <v>338</v>
      </c>
      <c r="E8" s="650">
        <f>E12+E23+E60+E71+E97+E109</f>
        <v>64</v>
      </c>
    </row>
    <row r="9" spans="1:5" x14ac:dyDescent="0.2">
      <c r="B9" s="639"/>
    </row>
    <row r="10" spans="1:5" s="656" customFormat="1" ht="16.5" thickBot="1" x14ac:dyDescent="0.3">
      <c r="A10" s="651"/>
      <c r="B10" s="652" t="s">
        <v>318</v>
      </c>
      <c r="C10" s="653"/>
      <c r="D10" s="654"/>
      <c r="E10" s="655" t="s">
        <v>226</v>
      </c>
    </row>
    <row r="11" spans="1:5" x14ac:dyDescent="0.2">
      <c r="B11" s="657"/>
      <c r="D11" s="658"/>
    </row>
    <row r="12" spans="1:5" s="663" customFormat="1" x14ac:dyDescent="0.2">
      <c r="A12" s="640"/>
      <c r="B12" s="659" t="s">
        <v>225</v>
      </c>
      <c r="C12" s="660"/>
      <c r="D12" s="661"/>
      <c r="E12" s="662">
        <f>SUM(E13)</f>
        <v>6</v>
      </c>
    </row>
    <row r="13" spans="1:5" x14ac:dyDescent="0.2">
      <c r="B13" s="664" t="s">
        <v>225</v>
      </c>
      <c r="C13" s="665" t="s">
        <v>43</v>
      </c>
      <c r="D13" s="666" t="s">
        <v>147</v>
      </c>
      <c r="E13" s="667">
        <f>MAX(E14:E21)</f>
        <v>6</v>
      </c>
    </row>
    <row r="14" spans="1:5" x14ac:dyDescent="0.2">
      <c r="B14" s="668" t="s">
        <v>384</v>
      </c>
      <c r="C14" s="669" t="s">
        <v>635</v>
      </c>
      <c r="D14" s="670" t="s">
        <v>238</v>
      </c>
      <c r="E14" s="671">
        <v>4</v>
      </c>
    </row>
    <row r="15" spans="1:5" x14ac:dyDescent="0.2">
      <c r="B15" s="668" t="s">
        <v>385</v>
      </c>
      <c r="C15" s="669" t="s">
        <v>634</v>
      </c>
      <c r="D15" s="670" t="s">
        <v>238</v>
      </c>
      <c r="E15" s="671">
        <v>6</v>
      </c>
    </row>
    <row r="16" spans="1:5" ht="25.5" x14ac:dyDescent="0.2">
      <c r="B16" s="668" t="s">
        <v>381</v>
      </c>
      <c r="C16" s="669" t="s">
        <v>238</v>
      </c>
      <c r="D16" s="670" t="s">
        <v>633</v>
      </c>
      <c r="E16" s="671">
        <v>2</v>
      </c>
    </row>
    <row r="17" spans="1:5" ht="25.5" x14ac:dyDescent="0.2">
      <c r="B17" s="668" t="s">
        <v>380</v>
      </c>
      <c r="C17" s="669" t="s">
        <v>631</v>
      </c>
      <c r="D17" s="670" t="s">
        <v>632</v>
      </c>
      <c r="E17" s="671">
        <v>1</v>
      </c>
    </row>
    <row r="18" spans="1:5" ht="25.5" x14ac:dyDescent="0.2">
      <c r="B18" s="668" t="s">
        <v>383</v>
      </c>
      <c r="C18" s="669" t="s">
        <v>238</v>
      </c>
      <c r="D18" s="670" t="s">
        <v>633</v>
      </c>
      <c r="E18" s="671">
        <v>2</v>
      </c>
    </row>
    <row r="19" spans="1:5" ht="25.5" x14ac:dyDescent="0.2">
      <c r="B19" s="668" t="s">
        <v>379</v>
      </c>
      <c r="C19" s="669" t="s">
        <v>238</v>
      </c>
      <c r="D19" s="670" t="s">
        <v>633</v>
      </c>
      <c r="E19" s="671">
        <v>2</v>
      </c>
    </row>
    <row r="20" spans="1:5" ht="25.5" x14ac:dyDescent="0.2">
      <c r="B20" s="668" t="s">
        <v>382</v>
      </c>
      <c r="C20" s="669" t="s">
        <v>238</v>
      </c>
      <c r="D20" s="670" t="s">
        <v>633</v>
      </c>
      <c r="E20" s="671">
        <v>2</v>
      </c>
    </row>
    <row r="21" spans="1:5" x14ac:dyDescent="0.2">
      <c r="B21" s="668"/>
      <c r="C21" s="669"/>
      <c r="D21" s="670"/>
      <c r="E21" s="671"/>
    </row>
    <row r="22" spans="1:5" x14ac:dyDescent="0.2">
      <c r="A22" s="672"/>
      <c r="B22" s="673"/>
      <c r="C22" s="674"/>
      <c r="D22" s="675"/>
      <c r="E22" s="676"/>
    </row>
    <row r="23" spans="1:5" s="663" customFormat="1" x14ac:dyDescent="0.2">
      <c r="A23" s="677"/>
      <c r="B23" s="678" t="s">
        <v>304</v>
      </c>
      <c r="C23" s="679"/>
      <c r="D23" s="680"/>
      <c r="E23" s="681">
        <f>SUM(E30,E36,E24,E42,E49,E54)</f>
        <v>18</v>
      </c>
    </row>
    <row r="24" spans="1:5" x14ac:dyDescent="0.2">
      <c r="B24" s="664" t="s">
        <v>227</v>
      </c>
      <c r="C24" s="665" t="s">
        <v>43</v>
      </c>
      <c r="D24" s="666" t="s">
        <v>147</v>
      </c>
      <c r="E24" s="667">
        <f>MAX(E25:E28)</f>
        <v>5</v>
      </c>
    </row>
    <row r="25" spans="1:5" ht="38.25" x14ac:dyDescent="0.2">
      <c r="B25" s="668" t="s">
        <v>229</v>
      </c>
      <c r="C25" s="669" t="s">
        <v>238</v>
      </c>
      <c r="D25" s="669" t="s">
        <v>636</v>
      </c>
      <c r="E25" s="671">
        <v>0</v>
      </c>
    </row>
    <row r="26" spans="1:5" ht="25.5" x14ac:dyDescent="0.2">
      <c r="B26" s="668" t="s">
        <v>387</v>
      </c>
      <c r="C26" s="669" t="s">
        <v>238</v>
      </c>
      <c r="D26" s="669" t="s">
        <v>238</v>
      </c>
      <c r="E26" s="671">
        <v>5</v>
      </c>
    </row>
    <row r="27" spans="1:5" ht="38.25" x14ac:dyDescent="0.2">
      <c r="B27" s="668" t="s">
        <v>386</v>
      </c>
      <c r="C27" s="669" t="s">
        <v>238</v>
      </c>
      <c r="D27" s="669" t="s">
        <v>637</v>
      </c>
      <c r="E27" s="671">
        <v>3</v>
      </c>
    </row>
    <row r="28" spans="1:5" x14ac:dyDescent="0.2">
      <c r="B28" s="682"/>
      <c r="C28" s="669"/>
      <c r="D28" s="669"/>
      <c r="E28" s="683"/>
    </row>
    <row r="29" spans="1:5" s="688" customFormat="1" x14ac:dyDescent="0.2">
      <c r="A29" s="684"/>
      <c r="B29" s="685"/>
      <c r="C29" s="686"/>
      <c r="D29" s="687"/>
      <c r="E29" s="683"/>
    </row>
    <row r="30" spans="1:5" x14ac:dyDescent="0.2">
      <c r="B30" s="664" t="s">
        <v>391</v>
      </c>
      <c r="C30" s="665" t="s">
        <v>43</v>
      </c>
      <c r="D30" s="666" t="s">
        <v>147</v>
      </c>
      <c r="E30" s="667">
        <f>MAX(E31:E34)</f>
        <v>3</v>
      </c>
    </row>
    <row r="31" spans="1:5" ht="25.5" x14ac:dyDescent="0.2">
      <c r="B31" s="668" t="s">
        <v>393</v>
      </c>
      <c r="C31" s="669" t="s">
        <v>238</v>
      </c>
      <c r="D31" s="669" t="s">
        <v>638</v>
      </c>
      <c r="E31" s="671">
        <v>1</v>
      </c>
    </row>
    <row r="32" spans="1:5" x14ac:dyDescent="0.2">
      <c r="B32" s="668" t="s">
        <v>392</v>
      </c>
      <c r="C32" s="669" t="s">
        <v>238</v>
      </c>
      <c r="D32" s="669" t="s">
        <v>238</v>
      </c>
      <c r="E32" s="671">
        <v>3</v>
      </c>
    </row>
    <row r="33" spans="1:5" ht="25.5" x14ac:dyDescent="0.2">
      <c r="B33" s="668" t="s">
        <v>394</v>
      </c>
      <c r="C33" s="669" t="s">
        <v>238</v>
      </c>
      <c r="D33" s="669" t="s">
        <v>238</v>
      </c>
      <c r="E33" s="671">
        <v>3</v>
      </c>
    </row>
    <row r="34" spans="1:5" x14ac:dyDescent="0.2">
      <c r="B34" s="682"/>
      <c r="C34" s="669"/>
      <c r="D34" s="669"/>
      <c r="E34" s="683"/>
    </row>
    <row r="35" spans="1:5" s="688" customFormat="1" x14ac:dyDescent="0.2">
      <c r="A35" s="684"/>
      <c r="B35" s="685"/>
      <c r="C35" s="686"/>
      <c r="D35" s="687"/>
      <c r="E35" s="683"/>
    </row>
    <row r="36" spans="1:5" x14ac:dyDescent="0.2">
      <c r="B36" s="664" t="s">
        <v>388</v>
      </c>
      <c r="C36" s="665" t="s">
        <v>43</v>
      </c>
      <c r="D36" s="666" t="s">
        <v>147</v>
      </c>
      <c r="E36" s="667">
        <f>MAX(E37:E40)</f>
        <v>3</v>
      </c>
    </row>
    <row r="37" spans="1:5" ht="38.25" x14ac:dyDescent="0.2">
      <c r="B37" s="668" t="s">
        <v>230</v>
      </c>
      <c r="C37" s="669" t="s">
        <v>639</v>
      </c>
      <c r="D37" s="669" t="s">
        <v>238</v>
      </c>
      <c r="E37" s="671">
        <v>0</v>
      </c>
    </row>
    <row r="38" spans="1:5" x14ac:dyDescent="0.2">
      <c r="B38" s="668" t="s">
        <v>390</v>
      </c>
      <c r="C38" s="669" t="s">
        <v>238</v>
      </c>
      <c r="D38" s="669" t="s">
        <v>238</v>
      </c>
      <c r="E38" s="671">
        <v>3</v>
      </c>
    </row>
    <row r="39" spans="1:5" x14ac:dyDescent="0.2">
      <c r="B39" s="668" t="s">
        <v>389</v>
      </c>
      <c r="C39" s="669" t="s">
        <v>238</v>
      </c>
      <c r="D39" s="669" t="s">
        <v>238</v>
      </c>
      <c r="E39" s="671">
        <v>3</v>
      </c>
    </row>
    <row r="40" spans="1:5" x14ac:dyDescent="0.2">
      <c r="B40" s="689"/>
      <c r="C40" s="669"/>
      <c r="D40" s="669"/>
      <c r="E40" s="690"/>
    </row>
    <row r="41" spans="1:5" x14ac:dyDescent="0.2">
      <c r="B41" s="657"/>
      <c r="D41" s="658"/>
      <c r="E41" s="691"/>
    </row>
    <row r="42" spans="1:5" x14ac:dyDescent="0.2">
      <c r="B42" s="692" t="s">
        <v>228</v>
      </c>
      <c r="C42" s="693" t="s">
        <v>43</v>
      </c>
      <c r="D42" s="694" t="s">
        <v>147</v>
      </c>
      <c r="E42" s="695">
        <f>MAX(E43:E47)</f>
        <v>3</v>
      </c>
    </row>
    <row r="43" spans="1:5" ht="25.5" x14ac:dyDescent="0.2">
      <c r="B43" s="668" t="s">
        <v>234</v>
      </c>
      <c r="C43" s="669" t="s">
        <v>237</v>
      </c>
      <c r="D43" s="670" t="s">
        <v>640</v>
      </c>
      <c r="E43" s="671">
        <v>0</v>
      </c>
    </row>
    <row r="44" spans="1:5" ht="25.5" x14ac:dyDescent="0.2">
      <c r="B44" s="668" t="s">
        <v>231</v>
      </c>
      <c r="C44" s="669" t="s">
        <v>235</v>
      </c>
      <c r="D44" s="670" t="s">
        <v>236</v>
      </c>
      <c r="E44" s="671">
        <v>2</v>
      </c>
    </row>
    <row r="45" spans="1:5" ht="38.25" x14ac:dyDescent="0.2">
      <c r="B45" s="668" t="s">
        <v>395</v>
      </c>
      <c r="C45" s="669" t="s">
        <v>232</v>
      </c>
      <c r="D45" s="670" t="s">
        <v>233</v>
      </c>
      <c r="E45" s="671">
        <v>3</v>
      </c>
    </row>
    <row r="46" spans="1:5" ht="25.5" x14ac:dyDescent="0.2">
      <c r="B46" s="668" t="s">
        <v>396</v>
      </c>
      <c r="C46" s="669" t="s">
        <v>642</v>
      </c>
      <c r="D46" s="670" t="s">
        <v>641</v>
      </c>
      <c r="E46" s="671">
        <v>1</v>
      </c>
    </row>
    <row r="47" spans="1:5" x14ac:dyDescent="0.2">
      <c r="B47" s="689"/>
      <c r="C47" s="669"/>
      <c r="D47" s="696"/>
      <c r="E47" s="671"/>
    </row>
    <row r="48" spans="1:5" x14ac:dyDescent="0.2">
      <c r="B48" s="657"/>
      <c r="D48" s="658"/>
      <c r="E48" s="691"/>
    </row>
    <row r="49" spans="1:5" x14ac:dyDescent="0.2">
      <c r="B49" s="692" t="s">
        <v>239</v>
      </c>
      <c r="C49" s="693" t="s">
        <v>43</v>
      </c>
      <c r="D49" s="694" t="s">
        <v>147</v>
      </c>
      <c r="E49" s="695">
        <f>MAX(E50:E52)</f>
        <v>2</v>
      </c>
    </row>
    <row r="50" spans="1:5" ht="25.5" x14ac:dyDescent="0.2">
      <c r="B50" s="697" t="s">
        <v>403</v>
      </c>
      <c r="C50" s="698" t="s">
        <v>240</v>
      </c>
      <c r="D50" s="699"/>
      <c r="E50" s="690">
        <v>2</v>
      </c>
    </row>
    <row r="51" spans="1:5" ht="38.25" x14ac:dyDescent="0.2">
      <c r="B51" s="697" t="s">
        <v>404</v>
      </c>
      <c r="C51" s="698" t="s">
        <v>240</v>
      </c>
      <c r="D51" s="700" t="s">
        <v>643</v>
      </c>
      <c r="E51" s="690">
        <v>0</v>
      </c>
    </row>
    <row r="52" spans="1:5" x14ac:dyDescent="0.2">
      <c r="B52" s="697"/>
      <c r="C52" s="698"/>
      <c r="D52" s="700"/>
      <c r="E52" s="690"/>
    </row>
    <row r="53" spans="1:5" x14ac:dyDescent="0.2">
      <c r="A53" s="701"/>
      <c r="B53" s="702"/>
      <c r="C53" s="688"/>
      <c r="D53" s="703"/>
      <c r="E53" s="704"/>
    </row>
    <row r="54" spans="1:5" x14ac:dyDescent="0.2">
      <c r="A54" s="701"/>
      <c r="B54" s="664" t="s">
        <v>405</v>
      </c>
      <c r="C54" s="665" t="s">
        <v>43</v>
      </c>
      <c r="D54" s="666" t="s">
        <v>147</v>
      </c>
      <c r="E54" s="667">
        <f>MAX(E55:E58)</f>
        <v>2</v>
      </c>
    </row>
    <row r="55" spans="1:5" ht="25.5" x14ac:dyDescent="0.2">
      <c r="B55" s="697" t="s">
        <v>407</v>
      </c>
      <c r="C55" s="698" t="s">
        <v>645</v>
      </c>
      <c r="D55" s="698" t="s">
        <v>644</v>
      </c>
      <c r="E55" s="690">
        <v>0</v>
      </c>
    </row>
    <row r="56" spans="1:5" x14ac:dyDescent="0.2">
      <c r="B56" s="697" t="s">
        <v>406</v>
      </c>
      <c r="C56" s="698" t="s">
        <v>646</v>
      </c>
      <c r="D56" s="698" t="s">
        <v>238</v>
      </c>
      <c r="E56" s="690">
        <v>2</v>
      </c>
    </row>
    <row r="57" spans="1:5" x14ac:dyDescent="0.2">
      <c r="B57" s="697" t="s">
        <v>408</v>
      </c>
      <c r="C57" s="698" t="s">
        <v>646</v>
      </c>
      <c r="D57" s="698" t="s">
        <v>238</v>
      </c>
      <c r="E57" s="690">
        <v>2</v>
      </c>
    </row>
    <row r="58" spans="1:5" x14ac:dyDescent="0.2">
      <c r="B58" s="697"/>
      <c r="C58" s="698"/>
      <c r="D58" s="698"/>
      <c r="E58" s="690"/>
    </row>
    <row r="59" spans="1:5" s="663" customFormat="1" x14ac:dyDescent="0.2">
      <c r="A59" s="674"/>
      <c r="B59" s="705"/>
      <c r="C59" s="674"/>
      <c r="D59" s="675"/>
      <c r="E59" s="676"/>
    </row>
    <row r="60" spans="1:5" s="663" customFormat="1" x14ac:dyDescent="0.2">
      <c r="A60" s="679"/>
      <c r="B60" s="678" t="s">
        <v>190</v>
      </c>
      <c r="C60" s="679"/>
      <c r="D60" s="680"/>
      <c r="E60" s="681">
        <f>E61+E66</f>
        <v>4</v>
      </c>
    </row>
    <row r="61" spans="1:5" x14ac:dyDescent="0.2">
      <c r="B61" s="664" t="s">
        <v>399</v>
      </c>
      <c r="C61" s="665" t="s">
        <v>43</v>
      </c>
      <c r="D61" s="666" t="s">
        <v>147</v>
      </c>
      <c r="E61" s="695">
        <f>MAX(E62:E64)</f>
        <v>2</v>
      </c>
    </row>
    <row r="62" spans="1:5" ht="25.5" x14ac:dyDescent="0.2">
      <c r="B62" s="697" t="s">
        <v>402</v>
      </c>
      <c r="C62" s="698" t="s">
        <v>647</v>
      </c>
      <c r="D62" s="700" t="s">
        <v>649</v>
      </c>
      <c r="E62" s="690">
        <v>1</v>
      </c>
    </row>
    <row r="63" spans="1:5" ht="25.5" x14ac:dyDescent="0.2">
      <c r="B63" s="697" t="s">
        <v>401</v>
      </c>
      <c r="C63" s="698" t="s">
        <v>648</v>
      </c>
      <c r="D63" s="700" t="s">
        <v>238</v>
      </c>
      <c r="E63" s="690">
        <v>2</v>
      </c>
    </row>
    <row r="64" spans="1:5" x14ac:dyDescent="0.2">
      <c r="B64" s="689"/>
      <c r="C64" s="698"/>
      <c r="D64" s="700"/>
      <c r="E64" s="690"/>
    </row>
    <row r="65" spans="1:5" x14ac:dyDescent="0.2">
      <c r="B65" s="702"/>
      <c r="C65" s="688"/>
      <c r="D65" s="703"/>
      <c r="E65" s="704"/>
    </row>
    <row r="66" spans="1:5" x14ac:dyDescent="0.2">
      <c r="B66" s="664" t="s">
        <v>397</v>
      </c>
      <c r="C66" s="665" t="s">
        <v>43</v>
      </c>
      <c r="D66" s="666" t="s">
        <v>147</v>
      </c>
      <c r="E66" s="695">
        <f>MAX(E67:E69)</f>
        <v>2</v>
      </c>
    </row>
    <row r="67" spans="1:5" ht="25.5" x14ac:dyDescent="0.2">
      <c r="B67" s="697" t="s">
        <v>400</v>
      </c>
      <c r="C67" s="698" t="s">
        <v>650</v>
      </c>
      <c r="D67" s="700" t="s">
        <v>238</v>
      </c>
      <c r="E67" s="690">
        <v>2</v>
      </c>
    </row>
    <row r="68" spans="1:5" ht="40.5" customHeight="1" x14ac:dyDescent="0.2">
      <c r="B68" s="706" t="s">
        <v>398</v>
      </c>
      <c r="C68" s="698" t="s">
        <v>238</v>
      </c>
      <c r="D68" s="700" t="s">
        <v>651</v>
      </c>
      <c r="E68" s="690">
        <v>0</v>
      </c>
    </row>
    <row r="69" spans="1:5" x14ac:dyDescent="0.2">
      <c r="B69" s="689"/>
      <c r="C69" s="698"/>
      <c r="D69" s="700"/>
      <c r="E69" s="690"/>
    </row>
    <row r="70" spans="1:5" s="663" customFormat="1" x14ac:dyDescent="0.2">
      <c r="A70" s="674"/>
      <c r="B70" s="705"/>
      <c r="C70" s="674"/>
      <c r="D70" s="675"/>
      <c r="E70" s="676"/>
    </row>
    <row r="71" spans="1:5" s="663" customFormat="1" x14ac:dyDescent="0.2">
      <c r="A71" s="679"/>
      <c r="B71" s="678" t="s">
        <v>191</v>
      </c>
      <c r="C71" s="679"/>
      <c r="D71" s="680"/>
      <c r="E71" s="681">
        <f>E72+E77+E84+E91</f>
        <v>15</v>
      </c>
    </row>
    <row r="72" spans="1:5" x14ac:dyDescent="0.2">
      <c r="B72" s="692" t="s">
        <v>243</v>
      </c>
      <c r="C72" s="693" t="s">
        <v>43</v>
      </c>
      <c r="D72" s="694" t="s">
        <v>147</v>
      </c>
      <c r="E72" s="695">
        <f>MAX(E73:E75)</f>
        <v>3</v>
      </c>
    </row>
    <row r="73" spans="1:5" ht="25.5" x14ac:dyDescent="0.2">
      <c r="B73" s="706" t="s">
        <v>437</v>
      </c>
      <c r="C73" s="698" t="s">
        <v>244</v>
      </c>
      <c r="D73" s="700" t="s">
        <v>655</v>
      </c>
      <c r="E73" s="690">
        <v>0</v>
      </c>
    </row>
    <row r="74" spans="1:5" ht="25.5" x14ac:dyDescent="0.2">
      <c r="B74" s="706" t="s">
        <v>652</v>
      </c>
      <c r="C74" s="698" t="s">
        <v>653</v>
      </c>
      <c r="D74" s="700" t="s">
        <v>654</v>
      </c>
      <c r="E74" s="690">
        <v>3</v>
      </c>
    </row>
    <row r="75" spans="1:5" x14ac:dyDescent="0.2">
      <c r="B75" s="689"/>
      <c r="C75" s="698" t="s">
        <v>238</v>
      </c>
      <c r="D75" s="700" t="s">
        <v>238</v>
      </c>
      <c r="E75" s="690">
        <v>0</v>
      </c>
    </row>
    <row r="76" spans="1:5" x14ac:dyDescent="0.2">
      <c r="B76" s="657"/>
      <c r="C76" s="707"/>
      <c r="D76" s="708"/>
      <c r="E76" s="691"/>
    </row>
    <row r="77" spans="1:5" x14ac:dyDescent="0.2">
      <c r="B77" s="692" t="s">
        <v>245</v>
      </c>
      <c r="C77" s="709" t="s">
        <v>43</v>
      </c>
      <c r="D77" s="710" t="s">
        <v>147</v>
      </c>
      <c r="E77" s="695">
        <f>MAX(E78:E82)</f>
        <v>4</v>
      </c>
    </row>
    <row r="78" spans="1:5" ht="25.5" x14ac:dyDescent="0.2">
      <c r="B78" s="697" t="s">
        <v>246</v>
      </c>
      <c r="C78" s="698" t="s">
        <v>247</v>
      </c>
      <c r="D78" s="700" t="s">
        <v>248</v>
      </c>
      <c r="E78" s="690">
        <v>0</v>
      </c>
    </row>
    <row r="79" spans="1:5" ht="25.5" x14ac:dyDescent="0.2">
      <c r="B79" s="697" t="s">
        <v>249</v>
      </c>
      <c r="C79" s="698" t="s">
        <v>250</v>
      </c>
      <c r="D79" s="700" t="s">
        <v>251</v>
      </c>
      <c r="E79" s="690">
        <v>1</v>
      </c>
    </row>
    <row r="80" spans="1:5" ht="25.5" x14ac:dyDescent="0.2">
      <c r="B80" s="697" t="s">
        <v>409</v>
      </c>
      <c r="C80" s="698" t="s">
        <v>656</v>
      </c>
      <c r="D80" s="700" t="s">
        <v>658</v>
      </c>
      <c r="E80" s="690">
        <v>2</v>
      </c>
    </row>
    <row r="81" spans="1:5" ht="25.5" x14ac:dyDescent="0.2">
      <c r="B81" s="706" t="s">
        <v>657</v>
      </c>
      <c r="C81" s="698" t="s">
        <v>238</v>
      </c>
      <c r="D81" s="700" t="s">
        <v>659</v>
      </c>
      <c r="E81" s="690">
        <v>4</v>
      </c>
    </row>
    <row r="82" spans="1:5" x14ac:dyDescent="0.2">
      <c r="B82" s="689"/>
      <c r="C82" s="698"/>
      <c r="D82" s="700"/>
      <c r="E82" s="690"/>
    </row>
    <row r="83" spans="1:5" x14ac:dyDescent="0.2">
      <c r="B83" s="657"/>
      <c r="C83" s="707"/>
      <c r="D83" s="708"/>
      <c r="E83" s="691"/>
    </row>
    <row r="84" spans="1:5" x14ac:dyDescent="0.2">
      <c r="B84" s="692" t="s">
        <v>252</v>
      </c>
      <c r="C84" s="709" t="s">
        <v>43</v>
      </c>
      <c r="D84" s="710" t="s">
        <v>147</v>
      </c>
      <c r="E84" s="695">
        <f>MAX(E85:E89)</f>
        <v>4</v>
      </c>
    </row>
    <row r="85" spans="1:5" ht="42.75" customHeight="1" x14ac:dyDescent="0.2">
      <c r="B85" s="697" t="s">
        <v>253</v>
      </c>
      <c r="C85" s="698" t="s">
        <v>254</v>
      </c>
      <c r="D85" s="700" t="s">
        <v>255</v>
      </c>
      <c r="E85" s="690">
        <v>0</v>
      </c>
    </row>
    <row r="86" spans="1:5" ht="25.5" x14ac:dyDescent="0.2">
      <c r="B86" s="697" t="s">
        <v>256</v>
      </c>
      <c r="C86" s="698" t="s">
        <v>250</v>
      </c>
      <c r="D86" s="700" t="s">
        <v>257</v>
      </c>
      <c r="E86" s="690">
        <v>1</v>
      </c>
    </row>
    <row r="87" spans="1:5" ht="25.5" x14ac:dyDescent="0.2">
      <c r="B87" s="697" t="s">
        <v>410</v>
      </c>
      <c r="C87" s="698" t="s">
        <v>258</v>
      </c>
      <c r="D87" s="700" t="s">
        <v>259</v>
      </c>
      <c r="E87" s="690">
        <v>2</v>
      </c>
    </row>
    <row r="88" spans="1:5" ht="25.5" x14ac:dyDescent="0.2">
      <c r="B88" s="697" t="s">
        <v>411</v>
      </c>
      <c r="C88" s="698" t="s">
        <v>260</v>
      </c>
      <c r="D88" s="700" t="s">
        <v>261</v>
      </c>
      <c r="E88" s="690">
        <v>4</v>
      </c>
    </row>
    <row r="89" spans="1:5" x14ac:dyDescent="0.2">
      <c r="B89" s="689"/>
      <c r="C89" s="698" t="s">
        <v>238</v>
      </c>
      <c r="D89" s="700" t="s">
        <v>238</v>
      </c>
      <c r="E89" s="690">
        <v>0</v>
      </c>
    </row>
    <row r="90" spans="1:5" x14ac:dyDescent="0.2">
      <c r="B90" s="657"/>
      <c r="C90" s="711"/>
      <c r="D90" s="708"/>
      <c r="E90" s="691"/>
    </row>
    <row r="91" spans="1:5" x14ac:dyDescent="0.2">
      <c r="B91" s="692" t="s">
        <v>262</v>
      </c>
      <c r="C91" s="709" t="s">
        <v>43</v>
      </c>
      <c r="D91" s="710" t="s">
        <v>147</v>
      </c>
      <c r="E91" s="695">
        <f>MAX(E92:E95)</f>
        <v>4</v>
      </c>
    </row>
    <row r="92" spans="1:5" ht="25.5" x14ac:dyDescent="0.2">
      <c r="B92" s="697" t="s">
        <v>263</v>
      </c>
      <c r="C92" s="698" t="s">
        <v>264</v>
      </c>
      <c r="D92" s="700" t="s">
        <v>265</v>
      </c>
      <c r="E92" s="690">
        <v>0</v>
      </c>
    </row>
    <row r="93" spans="1:5" ht="25.5" x14ac:dyDescent="0.2">
      <c r="B93" s="697" t="s">
        <v>413</v>
      </c>
      <c r="C93" s="698" t="s">
        <v>660</v>
      </c>
      <c r="D93" s="700" t="s">
        <v>663</v>
      </c>
      <c r="E93" s="690">
        <v>2</v>
      </c>
    </row>
    <row r="94" spans="1:5" ht="25.5" x14ac:dyDescent="0.2">
      <c r="B94" s="706" t="s">
        <v>412</v>
      </c>
      <c r="C94" s="698" t="s">
        <v>661</v>
      </c>
      <c r="D94" s="700" t="s">
        <v>662</v>
      </c>
      <c r="E94" s="690">
        <v>4</v>
      </c>
    </row>
    <row r="95" spans="1:5" x14ac:dyDescent="0.2">
      <c r="B95" s="689"/>
      <c r="C95" s="712"/>
      <c r="D95" s="699"/>
      <c r="E95" s="690"/>
    </row>
    <row r="96" spans="1:5" s="663" customFormat="1" x14ac:dyDescent="0.2">
      <c r="A96" s="674"/>
      <c r="B96" s="705"/>
      <c r="C96" s="713"/>
      <c r="D96" s="714"/>
      <c r="E96" s="676"/>
    </row>
    <row r="97" spans="1:5" s="663" customFormat="1" x14ac:dyDescent="0.2">
      <c r="A97" s="679"/>
      <c r="B97" s="678" t="s">
        <v>192</v>
      </c>
      <c r="C97" s="715"/>
      <c r="D97" s="716"/>
      <c r="E97" s="681">
        <f>E98+E103</f>
        <v>5</v>
      </c>
    </row>
    <row r="98" spans="1:5" x14ac:dyDescent="0.2">
      <c r="B98" s="692" t="s">
        <v>414</v>
      </c>
      <c r="C98" s="709" t="s">
        <v>43</v>
      </c>
      <c r="D98" s="710" t="s">
        <v>147</v>
      </c>
      <c r="E98" s="695">
        <f>MAX(E99:E101)</f>
        <v>1</v>
      </c>
    </row>
    <row r="99" spans="1:5" x14ac:dyDescent="0.2">
      <c r="B99" s="697" t="s">
        <v>416</v>
      </c>
      <c r="C99" s="698" t="s">
        <v>238</v>
      </c>
      <c r="D99" s="700" t="s">
        <v>238</v>
      </c>
      <c r="E99" s="690">
        <v>0</v>
      </c>
    </row>
    <row r="100" spans="1:5" ht="25.5" x14ac:dyDescent="0.2">
      <c r="B100" s="697" t="s">
        <v>415</v>
      </c>
      <c r="C100" s="698" t="s">
        <v>241</v>
      </c>
      <c r="D100" s="700" t="s">
        <v>242</v>
      </c>
      <c r="E100" s="690">
        <v>1</v>
      </c>
    </row>
    <row r="101" spans="1:5" x14ac:dyDescent="0.2">
      <c r="B101" s="697"/>
      <c r="C101" s="698"/>
      <c r="D101" s="700"/>
      <c r="E101" s="690"/>
    </row>
    <row r="102" spans="1:5" x14ac:dyDescent="0.2">
      <c r="B102" s="639"/>
      <c r="C102" s="717"/>
      <c r="D102" s="718"/>
      <c r="E102" s="704"/>
    </row>
    <row r="103" spans="1:5" x14ac:dyDescent="0.2">
      <c r="B103" s="719" t="s">
        <v>191</v>
      </c>
      <c r="C103" s="720" t="s">
        <v>43</v>
      </c>
      <c r="D103" s="721" t="s">
        <v>147</v>
      </c>
      <c r="E103" s="695">
        <f>MAX(E104:E107)</f>
        <v>4</v>
      </c>
    </row>
    <row r="104" spans="1:5" ht="25.5" x14ac:dyDescent="0.2">
      <c r="B104" s="697" t="s">
        <v>418</v>
      </c>
      <c r="C104" s="698" t="s">
        <v>268</v>
      </c>
      <c r="D104" s="700" t="s">
        <v>269</v>
      </c>
      <c r="E104" s="690">
        <v>2</v>
      </c>
    </row>
    <row r="105" spans="1:5" ht="25.5" x14ac:dyDescent="0.2">
      <c r="B105" s="697" t="s">
        <v>419</v>
      </c>
      <c r="C105" s="698" t="s">
        <v>266</v>
      </c>
      <c r="D105" s="700" t="s">
        <v>267</v>
      </c>
      <c r="E105" s="690">
        <v>1</v>
      </c>
    </row>
    <row r="106" spans="1:5" ht="38.25" x14ac:dyDescent="0.2">
      <c r="B106" s="697" t="s">
        <v>417</v>
      </c>
      <c r="C106" s="698" t="s">
        <v>268</v>
      </c>
      <c r="D106" s="700" t="s">
        <v>269</v>
      </c>
      <c r="E106" s="690">
        <v>4</v>
      </c>
    </row>
    <row r="107" spans="1:5" x14ac:dyDescent="0.2">
      <c r="B107" s="689"/>
      <c r="C107" s="698"/>
      <c r="D107" s="700"/>
      <c r="E107" s="690"/>
    </row>
    <row r="108" spans="1:5" s="663" customFormat="1" x14ac:dyDescent="0.2">
      <c r="A108" s="674"/>
      <c r="B108" s="705"/>
      <c r="C108" s="713"/>
      <c r="D108" s="714"/>
      <c r="E108" s="676"/>
    </row>
    <row r="109" spans="1:5" s="663" customFormat="1" x14ac:dyDescent="0.2">
      <c r="A109" s="679"/>
      <c r="B109" s="678" t="s">
        <v>189</v>
      </c>
      <c r="C109" s="715"/>
      <c r="D109" s="716"/>
      <c r="E109" s="681">
        <f>E110+E118+E124+E131</f>
        <v>16</v>
      </c>
    </row>
    <row r="110" spans="1:5" x14ac:dyDescent="0.2">
      <c r="B110" s="692" t="s">
        <v>270</v>
      </c>
      <c r="C110" s="709" t="s">
        <v>43</v>
      </c>
      <c r="D110" s="710" t="s">
        <v>147</v>
      </c>
      <c r="E110" s="695">
        <f>MAX(E111:E116)</f>
        <v>3</v>
      </c>
    </row>
    <row r="111" spans="1:5" ht="25.5" x14ac:dyDescent="0.2">
      <c r="B111" s="697" t="s">
        <v>271</v>
      </c>
      <c r="C111" s="698" t="s">
        <v>272</v>
      </c>
      <c r="D111" s="700" t="s">
        <v>664</v>
      </c>
      <c r="E111" s="690">
        <v>0</v>
      </c>
    </row>
    <row r="112" spans="1:5" ht="25.5" x14ac:dyDescent="0.2">
      <c r="B112" s="722" t="s">
        <v>438</v>
      </c>
      <c r="C112" s="698" t="s">
        <v>273</v>
      </c>
      <c r="D112" s="700" t="s">
        <v>274</v>
      </c>
      <c r="E112" s="690">
        <v>1</v>
      </c>
    </row>
    <row r="113" spans="2:5" ht="25.5" x14ac:dyDescent="0.2">
      <c r="B113" s="722" t="s">
        <v>439</v>
      </c>
      <c r="C113" s="698" t="s">
        <v>273</v>
      </c>
      <c r="D113" s="700" t="s">
        <v>238</v>
      </c>
      <c r="E113" s="690">
        <v>3</v>
      </c>
    </row>
    <row r="114" spans="2:5" ht="25.5" x14ac:dyDescent="0.2">
      <c r="B114" s="722" t="s">
        <v>440</v>
      </c>
      <c r="C114" s="698" t="s">
        <v>275</v>
      </c>
      <c r="D114" s="700" t="s">
        <v>276</v>
      </c>
      <c r="E114" s="690">
        <v>1</v>
      </c>
    </row>
    <row r="115" spans="2:5" ht="25.5" x14ac:dyDescent="0.2">
      <c r="B115" s="722" t="s">
        <v>441</v>
      </c>
      <c r="C115" s="698" t="s">
        <v>275</v>
      </c>
      <c r="D115" s="700" t="s">
        <v>238</v>
      </c>
      <c r="E115" s="690">
        <v>3</v>
      </c>
    </row>
    <row r="116" spans="2:5" x14ac:dyDescent="0.2">
      <c r="B116" s="689"/>
      <c r="C116" s="698"/>
      <c r="D116" s="700"/>
      <c r="E116" s="690"/>
    </row>
    <row r="117" spans="2:5" x14ac:dyDescent="0.2">
      <c r="B117" s="657"/>
      <c r="C117" s="707"/>
      <c r="D117" s="708"/>
      <c r="E117" s="691"/>
    </row>
    <row r="118" spans="2:5" x14ac:dyDescent="0.2">
      <c r="B118" s="692" t="s">
        <v>277</v>
      </c>
      <c r="C118" s="709" t="s">
        <v>43</v>
      </c>
      <c r="D118" s="710" t="s">
        <v>147</v>
      </c>
      <c r="E118" s="695">
        <f>MAX(E119:E122)</f>
        <v>4</v>
      </c>
    </row>
    <row r="119" spans="2:5" ht="25.5" x14ac:dyDescent="0.2">
      <c r="B119" s="697" t="s">
        <v>271</v>
      </c>
      <c r="C119" s="698" t="s">
        <v>278</v>
      </c>
      <c r="D119" s="700" t="s">
        <v>665</v>
      </c>
      <c r="E119" s="690">
        <v>0</v>
      </c>
    </row>
    <row r="120" spans="2:5" ht="25.5" x14ac:dyDescent="0.2">
      <c r="B120" s="697" t="s">
        <v>279</v>
      </c>
      <c r="C120" s="698" t="s">
        <v>280</v>
      </c>
      <c r="D120" s="700" t="s">
        <v>281</v>
      </c>
      <c r="E120" s="690">
        <v>2</v>
      </c>
    </row>
    <row r="121" spans="2:5" ht="25.5" x14ac:dyDescent="0.2">
      <c r="B121" s="697" t="s">
        <v>282</v>
      </c>
      <c r="C121" s="698" t="s">
        <v>283</v>
      </c>
      <c r="D121" s="700" t="s">
        <v>284</v>
      </c>
      <c r="E121" s="690">
        <v>4</v>
      </c>
    </row>
    <row r="122" spans="2:5" x14ac:dyDescent="0.2">
      <c r="B122" s="689"/>
      <c r="C122" s="698"/>
      <c r="D122" s="700"/>
      <c r="E122" s="690"/>
    </row>
    <row r="123" spans="2:5" x14ac:dyDescent="0.2">
      <c r="B123" s="702"/>
      <c r="C123" s="723"/>
      <c r="D123" s="724"/>
      <c r="E123" s="704"/>
    </row>
    <row r="124" spans="2:5" x14ac:dyDescent="0.2">
      <c r="B124" s="692" t="s">
        <v>285</v>
      </c>
      <c r="C124" s="725" t="s">
        <v>43</v>
      </c>
      <c r="D124" s="726" t="s">
        <v>147</v>
      </c>
      <c r="E124" s="695">
        <f>MAX(E125:E129)</f>
        <v>5</v>
      </c>
    </row>
    <row r="125" spans="2:5" ht="25.5" x14ac:dyDescent="0.2">
      <c r="B125" s="697" t="s">
        <v>286</v>
      </c>
      <c r="C125" s="698" t="s">
        <v>287</v>
      </c>
      <c r="D125" s="700" t="s">
        <v>665</v>
      </c>
      <c r="E125" s="690">
        <v>0</v>
      </c>
    </row>
    <row r="126" spans="2:5" ht="25.5" x14ac:dyDescent="0.2">
      <c r="B126" s="697" t="s">
        <v>288</v>
      </c>
      <c r="C126" s="698" t="s">
        <v>289</v>
      </c>
      <c r="D126" s="700" t="s">
        <v>666</v>
      </c>
      <c r="E126" s="690">
        <v>1</v>
      </c>
    </row>
    <row r="127" spans="2:5" ht="25.5" x14ac:dyDescent="0.2">
      <c r="B127" s="697" t="s">
        <v>290</v>
      </c>
      <c r="C127" s="698" t="s">
        <v>291</v>
      </c>
      <c r="D127" s="700" t="s">
        <v>281</v>
      </c>
      <c r="E127" s="690">
        <v>3</v>
      </c>
    </row>
    <row r="128" spans="2:5" ht="25.5" x14ac:dyDescent="0.2">
      <c r="B128" s="697" t="s">
        <v>292</v>
      </c>
      <c r="C128" s="698" t="s">
        <v>293</v>
      </c>
      <c r="D128" s="700" t="s">
        <v>294</v>
      </c>
      <c r="E128" s="690">
        <v>5</v>
      </c>
    </row>
    <row r="129" spans="2:5" x14ac:dyDescent="0.2">
      <c r="B129" s="689"/>
      <c r="C129" s="698"/>
      <c r="D129" s="700"/>
      <c r="E129" s="690"/>
    </row>
    <row r="130" spans="2:5" x14ac:dyDescent="0.2">
      <c r="B130" s="702"/>
      <c r="C130" s="723"/>
      <c r="D130" s="724"/>
      <c r="E130" s="704"/>
    </row>
    <row r="131" spans="2:5" x14ac:dyDescent="0.2">
      <c r="B131" s="692" t="s">
        <v>295</v>
      </c>
      <c r="C131" s="725" t="s">
        <v>43</v>
      </c>
      <c r="D131" s="726" t="s">
        <v>147</v>
      </c>
      <c r="E131" s="695">
        <f>MAX(E132:E135)</f>
        <v>4</v>
      </c>
    </row>
    <row r="132" spans="2:5" ht="25.5" x14ac:dyDescent="0.2">
      <c r="B132" s="697" t="s">
        <v>288</v>
      </c>
      <c r="C132" s="698" t="s">
        <v>296</v>
      </c>
      <c r="D132" s="700" t="s">
        <v>297</v>
      </c>
      <c r="E132" s="690">
        <v>0</v>
      </c>
    </row>
    <row r="133" spans="2:5" ht="25.5" x14ac:dyDescent="0.2">
      <c r="B133" s="697" t="s">
        <v>298</v>
      </c>
      <c r="C133" s="698" t="s">
        <v>299</v>
      </c>
      <c r="D133" s="700" t="s">
        <v>300</v>
      </c>
      <c r="E133" s="690">
        <v>2</v>
      </c>
    </row>
    <row r="134" spans="2:5" ht="25.5" x14ac:dyDescent="0.2">
      <c r="B134" s="697" t="s">
        <v>301</v>
      </c>
      <c r="C134" s="698" t="s">
        <v>302</v>
      </c>
      <c r="D134" s="700" t="s">
        <v>303</v>
      </c>
      <c r="E134" s="690">
        <v>4</v>
      </c>
    </row>
    <row r="135" spans="2:5" x14ac:dyDescent="0.2">
      <c r="B135" s="689"/>
      <c r="C135" s="698"/>
      <c r="D135" s="700"/>
      <c r="E135" s="690"/>
    </row>
    <row r="136" spans="2:5" x14ac:dyDescent="0.2">
      <c r="B136" s="702"/>
      <c r="C136" s="723"/>
      <c r="D136" s="724"/>
      <c r="E136" s="704"/>
    </row>
    <row r="137" spans="2:5" x14ac:dyDescent="0.2">
      <c r="B137" s="701"/>
      <c r="C137" s="684"/>
    </row>
    <row r="138" spans="2:5" x14ac:dyDescent="0.2">
      <c r="B138" s="701"/>
      <c r="C138" s="684"/>
    </row>
  </sheetData>
  <sheetProtection password="C434" sheet="1" objects="1" scenarios="1"/>
  <pageMargins left="0.23622047244094491" right="0.23622047244094491" top="0.74803149606299213" bottom="0.74803149606299213" header="0.31496062992125984" footer="0.31496062992125984"/>
  <pageSetup paperSize="8" fitToHeight="0" orientation="portrait" r:id="rId1"/>
  <headerFooter>
    <oddHeader>&amp;R&amp;D</oddHeader>
    <oddFooter>&amp;L&amp;F / &amp;A&amp;R&amp;P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38"/>
  <sheetViews>
    <sheetView showGridLines="0" showZeros="0" zoomScaleNormal="100" zoomScaleSheetLayoutView="100" workbookViewId="0">
      <pane xSplit="3" ySplit="5" topLeftCell="D6" activePane="bottomRight" state="frozen"/>
      <selection activeCell="D36" sqref="D36:E36"/>
      <selection pane="topRight" activeCell="D36" sqref="D36:E36"/>
      <selection pane="bottomLeft" activeCell="D36" sqref="D36:E36"/>
      <selection pane="bottomRight"/>
    </sheetView>
  </sheetViews>
  <sheetFormatPr baseColWidth="10" defaultColWidth="11" defaultRowHeight="12.75" outlineLevelCol="1" x14ac:dyDescent="0.2"/>
  <cols>
    <col min="1" max="1" width="2.75" style="30" customWidth="1"/>
    <col min="2" max="2" width="40.625" style="30" customWidth="1"/>
    <col min="3" max="3" width="10.625" style="394" hidden="1" customWidth="1" outlineLevel="1"/>
    <col min="4" max="4" width="30.625" style="30" customWidth="1" collapsed="1"/>
    <col min="5" max="5" width="15.625" style="65" hidden="1" customWidth="1" outlineLevel="1"/>
    <col min="6" max="6" width="15.625" style="30" hidden="1" customWidth="1" outlineLevel="1"/>
    <col min="7" max="7" width="30.625" style="30" customWidth="1" collapsed="1"/>
    <col min="8" max="8" width="40.625" style="304" customWidth="1"/>
    <col min="9" max="9" width="40.625" style="30" customWidth="1"/>
    <col min="10" max="12" width="15.625" style="30" hidden="1" customWidth="1" outlineLevel="1"/>
    <col min="13" max="13" width="30.625" style="30" customWidth="1" collapsed="1"/>
    <col min="14" max="14" width="40.625" style="304" customWidth="1"/>
    <col min="15" max="15" width="40.625" style="30" customWidth="1"/>
    <col min="16" max="18" width="15.625" style="30" hidden="1" customWidth="1" outlineLevel="1"/>
    <col min="19" max="19" width="15.625" style="30" customWidth="1" collapsed="1"/>
    <col min="20" max="26" width="15.625" style="30" customWidth="1"/>
    <col min="27" max="16384" width="11" style="30"/>
  </cols>
  <sheetData>
    <row r="1" spans="1:19" ht="38.25" x14ac:dyDescent="0.2">
      <c r="C1" s="396"/>
      <c r="D1" s="181" t="s">
        <v>347</v>
      </c>
      <c r="E1" s="265" t="s">
        <v>327</v>
      </c>
      <c r="F1" s="159" t="s">
        <v>325</v>
      </c>
      <c r="G1" s="32"/>
      <c r="I1" s="180" t="s">
        <v>348</v>
      </c>
      <c r="J1" s="171" t="s">
        <v>326</v>
      </c>
      <c r="K1" s="158" t="s">
        <v>327</v>
      </c>
      <c r="L1" s="159" t="s">
        <v>325</v>
      </c>
      <c r="M1" s="32"/>
      <c r="O1" s="180" t="s">
        <v>349</v>
      </c>
      <c r="P1" s="171" t="s">
        <v>326</v>
      </c>
      <c r="Q1" s="158" t="s">
        <v>327</v>
      </c>
      <c r="R1" s="159" t="s">
        <v>325</v>
      </c>
      <c r="S1" s="32"/>
    </row>
    <row r="2" spans="1:19" x14ac:dyDescent="0.2">
      <c r="C2" s="396"/>
      <c r="D2" s="179" t="s">
        <v>182</v>
      </c>
      <c r="E2" s="266">
        <f>SUM(E7:E22)</f>
        <v>552160</v>
      </c>
      <c r="F2" s="154">
        <f>SUM(F7:F22)</f>
        <v>352192</v>
      </c>
      <c r="G2" s="32"/>
      <c r="I2" s="178" t="str">
        <f>D2</f>
        <v>BATI</v>
      </c>
      <c r="J2" s="175">
        <f>SUM(J7:J22)</f>
        <v>-45000</v>
      </c>
      <c r="K2" s="153">
        <f>SUM(K7:K22)</f>
        <v>546688</v>
      </c>
      <c r="L2" s="154">
        <f>SUM(L7:L22)</f>
        <v>8000</v>
      </c>
      <c r="M2" s="32"/>
      <c r="O2" s="178" t="str">
        <f>D2</f>
        <v>BATI</v>
      </c>
      <c r="P2" s="175">
        <f>SUM(P7:P22)</f>
        <v>153720</v>
      </c>
      <c r="Q2" s="153">
        <f>SUM(Q7:Q22)</f>
        <v>293988.57142857136</v>
      </c>
      <c r="R2" s="154">
        <f>SUM(R7:R22)</f>
        <v>8000</v>
      </c>
      <c r="S2" s="32"/>
    </row>
    <row r="3" spans="1:19" x14ac:dyDescent="0.2">
      <c r="C3" s="396"/>
      <c r="D3" s="179" t="s">
        <v>346</v>
      </c>
      <c r="E3" s="266">
        <f>SUM(E26:E35)</f>
        <v>281961.90476190473</v>
      </c>
      <c r="F3" s="154">
        <f>SUM(F26:F35)</f>
        <v>256528</v>
      </c>
      <c r="G3" s="32"/>
      <c r="I3" s="178" t="str">
        <f>D3</f>
        <v>EQUIPEMENTS CVC</v>
      </c>
      <c r="J3" s="175">
        <f>SUM(J26:J35)</f>
        <v>15000</v>
      </c>
      <c r="K3" s="153">
        <f>SUM(K26:K35)</f>
        <v>266961.90476190473</v>
      </c>
      <c r="L3" s="154">
        <f>SUM(L26:L35)</f>
        <v>256528</v>
      </c>
      <c r="M3" s="32"/>
      <c r="O3" s="178" t="str">
        <f>D3</f>
        <v>EQUIPEMENTS CVC</v>
      </c>
      <c r="P3" s="175">
        <f>SUM(P26:P35)</f>
        <v>15000</v>
      </c>
      <c r="Q3" s="153">
        <f>SUM(Q26:Q35)</f>
        <v>266961.90476190473</v>
      </c>
      <c r="R3" s="154">
        <f>SUM(R26:R35)</f>
        <v>247328</v>
      </c>
      <c r="S3" s="32"/>
    </row>
    <row r="4" spans="1:19" x14ac:dyDescent="0.2">
      <c r="A4" s="36"/>
      <c r="B4" s="39"/>
      <c r="C4" s="397"/>
      <c r="D4" s="378"/>
      <c r="E4" s="376"/>
      <c r="F4" s="379"/>
      <c r="G4" s="38"/>
      <c r="H4" s="313"/>
      <c r="I4" s="38"/>
      <c r="J4" s="377"/>
      <c r="K4" s="377"/>
      <c r="L4" s="377"/>
      <c r="M4" s="38"/>
      <c r="N4" s="313"/>
      <c r="O4" s="38"/>
      <c r="P4" s="377"/>
      <c r="Q4" s="377"/>
      <c r="R4" s="377"/>
      <c r="S4" s="38"/>
    </row>
    <row r="5" spans="1:19" s="731" customFormat="1" ht="16.5" thickBot="1" x14ac:dyDescent="0.25">
      <c r="A5" s="727"/>
      <c r="B5" s="728" t="s">
        <v>104</v>
      </c>
      <c r="C5" s="729"/>
      <c r="D5" s="826" t="s">
        <v>179</v>
      </c>
      <c r="E5" s="827"/>
      <c r="F5" s="828"/>
      <c r="G5" s="826" t="s">
        <v>180</v>
      </c>
      <c r="H5" s="827"/>
      <c r="I5" s="827"/>
      <c r="J5" s="827"/>
      <c r="K5" s="827"/>
      <c r="L5" s="828"/>
      <c r="M5" s="826" t="s">
        <v>181</v>
      </c>
      <c r="N5" s="827"/>
      <c r="O5" s="827"/>
      <c r="P5" s="827"/>
      <c r="Q5" s="827"/>
      <c r="R5" s="828"/>
      <c r="S5" s="730"/>
    </row>
    <row r="6" spans="1:19" x14ac:dyDescent="0.2">
      <c r="A6" s="112"/>
      <c r="B6" s="160"/>
      <c r="C6" s="398"/>
      <c r="D6" s="150"/>
      <c r="E6" s="267"/>
      <c r="F6" s="151"/>
      <c r="G6" s="114"/>
      <c r="H6" s="305"/>
      <c r="I6" s="112"/>
      <c r="J6" s="112"/>
      <c r="K6" s="112"/>
      <c r="L6" s="112"/>
      <c r="M6" s="114"/>
      <c r="N6" s="305"/>
      <c r="O6" s="168"/>
      <c r="P6" s="169"/>
      <c r="Q6" s="112"/>
      <c r="R6" s="113"/>
      <c r="S6" s="32"/>
    </row>
    <row r="7" spans="1:19" ht="38.25" x14ac:dyDescent="0.2">
      <c r="A7" s="36"/>
      <c r="B7" s="161" t="str">
        <f>'BD_BATI-EQUIPEMENTS'!B13</f>
        <v>Plancher bas</v>
      </c>
      <c r="C7" s="165" t="s">
        <v>484</v>
      </c>
      <c r="D7" s="339" t="s">
        <v>151</v>
      </c>
      <c r="E7" s="335" t="s">
        <v>327</v>
      </c>
      <c r="F7" s="165" t="s">
        <v>325</v>
      </c>
      <c r="G7" s="157" t="s">
        <v>307</v>
      </c>
      <c r="H7" s="268" t="s">
        <v>43</v>
      </c>
      <c r="I7" s="170" t="s">
        <v>150</v>
      </c>
      <c r="J7" s="171" t="s">
        <v>326</v>
      </c>
      <c r="K7" s="158" t="s">
        <v>327</v>
      </c>
      <c r="L7" s="159" t="s">
        <v>325</v>
      </c>
      <c r="M7" s="157" t="s">
        <v>308</v>
      </c>
      <c r="N7" s="268" t="s">
        <v>43</v>
      </c>
      <c r="O7" s="170" t="s">
        <v>150</v>
      </c>
      <c r="P7" s="171" t="str">
        <f>P1</f>
        <v>Surcoût des travaux</v>
      </c>
      <c r="Q7" s="158" t="str">
        <f>Q1</f>
        <v>Renouvellement</v>
      </c>
      <c r="R7" s="159" t="str">
        <f>R1</f>
        <v>Coût annuel d'entretien/maintenance</v>
      </c>
      <c r="S7" s="32"/>
    </row>
    <row r="8" spans="1:19" ht="25.5" x14ac:dyDescent="0.2">
      <c r="A8" s="36"/>
      <c r="B8" s="162" t="str">
        <f>'BD_BATI-EQUIPEMENTS'!B14</f>
        <v>Technique d'isolation du plancher bas</v>
      </c>
      <c r="C8" s="399">
        <f>Surf_Pbas</f>
        <v>500</v>
      </c>
      <c r="D8" s="340" t="s">
        <v>455</v>
      </c>
      <c r="E8" s="336">
        <f>VLOOKUP(D8,'BD_BATI-EQUIPEMENTS'!$B$15:$M$19,12)</f>
        <v>28000</v>
      </c>
      <c r="F8" s="154">
        <f>VLOOKUP(D8,'BD_BATI-EQUIPEMENTS'!$B$15:$L$19,11)</f>
        <v>0</v>
      </c>
      <c r="G8" s="375" t="str">
        <f>D8</f>
        <v>Isolé en sous-face sur cave ou VS</v>
      </c>
      <c r="H8" s="306" t="str">
        <f>VLOOKUP(G8,'BD_BATI-EQUIPEMENTS'!$B$15:$L$19,2)</f>
        <v>manque de traitement du pont thermique périphérique</v>
      </c>
      <c r="I8" s="332" t="str">
        <f>VLOOKUP(G8,'BD_BATI-EQUIPEMENTS'!$B$15:$L$19,3)</f>
        <v>ajouter une isolation intérieure des fondations</v>
      </c>
      <c r="J8" s="333">
        <f>IF(G8=$D8,0,VLOOKUP(G8,'BD_BATI-EQUIPEMENTS'!$B$15:$L$19,9)-'BD_BATI-EQUIPEMENTS'!$J4)</f>
        <v>0</v>
      </c>
      <c r="K8" s="153">
        <f>IF(G8=$D8,$E8,VLOOKUP(G8,'BD_BATI-EQUIPEMENTS'!$B$15:$L$19,10))</f>
        <v>28000</v>
      </c>
      <c r="L8" s="154">
        <f>VLOOKUP(G8,'BD_BATI-EQUIPEMENTS'!$B$15:$L$19,11)</f>
        <v>0</v>
      </c>
      <c r="M8" s="34" t="str">
        <f>G8</f>
        <v>Isolé en sous-face sur cave ou VS</v>
      </c>
      <c r="N8" s="306" t="str">
        <f>VLOOKUP(M8,'BD_BATI-EQUIPEMENTS'!$B$15:$L$19,2)</f>
        <v>manque de traitement du pont thermique périphérique</v>
      </c>
      <c r="O8" s="172" t="str">
        <f>VLOOKUP(M8,'BD_BATI-EQUIPEMENTS'!$B$15:$L$19,3)</f>
        <v>ajouter une isolation intérieure des fondations</v>
      </c>
      <c r="P8" s="153">
        <f>IF(M8=D8,0,VLOOKUP(MG8,'BD_BATI-EQUIPEMENTS'!$B$15:$L$19,9)-'BD_BATI-EQUIPEMENTS'!$J$4)</f>
        <v>0</v>
      </c>
      <c r="Q8" s="153">
        <f>IF(M8=D8,$E8,VLOOKUP(M8,'BD_BATI-EQUIPEMENTS'!$B$15:$L$19,10))</f>
        <v>28000</v>
      </c>
      <c r="R8" s="154">
        <f>VLOOKUP($M8,'BD_BATI-EQUIPEMENTS'!$B$15:$L$19,11)</f>
        <v>0</v>
      </c>
      <c r="S8" s="32"/>
    </row>
    <row r="9" spans="1:19" ht="25.5" x14ac:dyDescent="0.2">
      <c r="A9" s="36"/>
      <c r="B9" s="162" t="str">
        <f>'BD_BATI-EQUIPEMENTS'!B20</f>
        <v>Revêtement de sol</v>
      </c>
      <c r="C9" s="399">
        <f>Surf_Pbas</f>
        <v>500</v>
      </c>
      <c r="D9" s="340" t="s">
        <v>162</v>
      </c>
      <c r="E9" s="336">
        <f>VLOOKUP(D9,'BD_BATI-EQUIPEMENTS'!$B$21:$M$24,12)</f>
        <v>0</v>
      </c>
      <c r="F9" s="154">
        <f>VLOOKUP(D9,'BD_BATI-EQUIPEMENTS'!$B$21:$L$24,11)</f>
        <v>0</v>
      </c>
      <c r="G9" s="375" t="str">
        <f>D9</f>
        <v>Sol minéral (béton ciré et dérivés, mortier teinté, pierre, carrelage, …)</v>
      </c>
      <c r="H9" s="306" t="str">
        <f>VLOOKUP(G9,'BD_BATI-EQUIPEMENTS'!$B$21:$L$24,2)</f>
        <v>grande durée de vie, sans entretien</v>
      </c>
      <c r="I9" s="332" t="str">
        <f>VLOOKUP(G9,'BD_BATI-EQUIPEMENTS'!$B$21:$L$24,3)</f>
        <v>à privilégier dans les espaces de jour, circulations, pièces humides - prévoir une sous-face acoustique</v>
      </c>
      <c r="J9" s="333">
        <f>IF(G9=$D9,0,VLOOKUP(G9,'BD_BATI-EQUIPEMENTS'!$B$15:$L$19,9)-'BD_BATI-EQUIPEMENTS'!$J5)</f>
        <v>0</v>
      </c>
      <c r="K9" s="153">
        <f>IF(G9=$D9,$E9,VLOOKUP(G9,'BD_BATI-EQUIPEMENTS'!$B$15:$L$19,10))</f>
        <v>0</v>
      </c>
      <c r="L9" s="154">
        <f>VLOOKUP(G9,'BD_BATI-EQUIPEMENTS'!$B$15:$L$19,11)</f>
        <v>0</v>
      </c>
      <c r="M9" s="34" t="str">
        <f>G9</f>
        <v>Sol minéral (béton ciré et dérivés, mortier teinté, pierre, carrelage, …)</v>
      </c>
      <c r="N9" s="306" t="str">
        <f>VLOOKUP(M9,'BD_BATI-EQUIPEMENTS'!$B$21:$L$24,2)</f>
        <v>grande durée de vie, sans entretien</v>
      </c>
      <c r="O9" s="172" t="str">
        <f>VLOOKUP(M9,'BD_BATI-EQUIPEMENTS'!$B$21:$L$24,3)</f>
        <v>à privilégier dans les espaces de jour, circulations, pièces humides - prévoir une sous-face acoustique</v>
      </c>
      <c r="P9" s="153">
        <f>IF(M9=$D9,0,VLOOKUP(M9,'BD_BATI-EQUIPEMENTS'!$B$15:$L$19,9)-'BD_BATI-EQUIPEMENTS'!$J5)</f>
        <v>0</v>
      </c>
      <c r="Q9" s="153">
        <f>IF(M9=$D9,$E9,VLOOKUP(M9,'BD_BATI-EQUIPEMENTS'!$B$15:$L$19,10))</f>
        <v>0</v>
      </c>
      <c r="R9" s="154">
        <f>VLOOKUP(M9,'BD_BATI-EQUIPEMENTS'!$B$15:$L$19,11)</f>
        <v>0</v>
      </c>
      <c r="S9" s="32"/>
    </row>
    <row r="10" spans="1:19" x14ac:dyDescent="0.2">
      <c r="A10" s="36"/>
      <c r="B10" s="163"/>
      <c r="C10" s="400"/>
      <c r="D10" s="341"/>
      <c r="E10" s="144"/>
      <c r="F10" s="152"/>
      <c r="G10" s="122"/>
      <c r="H10" s="307"/>
      <c r="I10" s="173"/>
      <c r="J10" s="174"/>
      <c r="K10" s="123"/>
      <c r="L10" s="152"/>
      <c r="M10" s="122"/>
      <c r="N10" s="307"/>
      <c r="O10" s="173"/>
      <c r="P10" s="174"/>
      <c r="Q10" s="123"/>
      <c r="R10" s="152"/>
      <c r="S10" s="32"/>
    </row>
    <row r="11" spans="1:19" ht="38.25" x14ac:dyDescent="0.2">
      <c r="A11" s="36"/>
      <c r="B11" s="161" t="str">
        <f>'BD_BATI-EQUIPEMENTS'!B26</f>
        <v>Mur sur extérieur</v>
      </c>
      <c r="C11" s="165" t="str">
        <f>C$7</f>
        <v>Quantité estimée</v>
      </c>
      <c r="D11" s="339" t="str">
        <f>D$7</f>
        <v>Solutions existantes</v>
      </c>
      <c r="E11" s="335" t="str">
        <f t="shared" ref="E11:O11" si="0">E$7</f>
        <v>Renouvellement</v>
      </c>
      <c r="F11" s="159" t="str">
        <f t="shared" si="0"/>
        <v>Coût annuel d'entretien/maintenance</v>
      </c>
      <c r="G11" s="157" t="str">
        <f t="shared" si="0"/>
        <v>Solutions projet1</v>
      </c>
      <c r="H11" s="268" t="str">
        <f t="shared" si="0"/>
        <v>Commentaires</v>
      </c>
      <c r="I11" s="170" t="str">
        <f t="shared" si="0"/>
        <v>Recommandations</v>
      </c>
      <c r="J11" s="171" t="s">
        <v>326</v>
      </c>
      <c r="K11" s="158" t="s">
        <v>327</v>
      </c>
      <c r="L11" s="159" t="s">
        <v>325</v>
      </c>
      <c r="M11" s="157" t="str">
        <f t="shared" si="0"/>
        <v>Solutions projet 2</v>
      </c>
      <c r="N11" s="268" t="str">
        <f t="shared" si="0"/>
        <v>Commentaires</v>
      </c>
      <c r="O11" s="170" t="str">
        <f t="shared" si="0"/>
        <v>Recommandations</v>
      </c>
      <c r="P11" s="171" t="s">
        <v>326</v>
      </c>
      <c r="Q11" s="158" t="s">
        <v>327</v>
      </c>
      <c r="R11" s="159" t="s">
        <v>325</v>
      </c>
      <c r="S11" s="32"/>
    </row>
    <row r="12" spans="1:19" ht="38.25" x14ac:dyDescent="0.2">
      <c r="A12" s="36"/>
      <c r="B12" s="162" t="str">
        <f>'BD_BATI-EQUIPEMENTS'!B27</f>
        <v xml:space="preserve">Technique isolation </v>
      </c>
      <c r="C12" s="399">
        <f>Surf_Mur+Surf_Men</f>
        <v>2160</v>
      </c>
      <c r="D12" s="340" t="s">
        <v>451</v>
      </c>
      <c r="E12" s="336">
        <f>VLOOKUP(D12,'BD_BATI-EQUIPEMENTS'!$B$28:$M$31,12)</f>
        <v>0</v>
      </c>
      <c r="F12" s="154">
        <f>VLOOKUP(D12,'BD_BATI-EQUIPEMENTS'!$B$28:$L$31,11)</f>
        <v>207360</v>
      </c>
      <c r="G12" s="375" t="s">
        <v>452</v>
      </c>
      <c r="H12" s="306" t="str">
        <f>VLOOKUP(G12,'BD_BATI-EQUIPEMENTS'!$B$28:$L$31,2)</f>
        <v>très dangereux en cas d'incendie</v>
      </c>
      <c r="I12" s="332" t="str">
        <f>VLOOKUP(G12,'BD_BATI-EQUIPEMENTS'!$B$28:$L$31,3)</f>
        <v>cloisonnement étanche par rapport au volume intérieur - attention au risque incendie en cours de chantier</v>
      </c>
      <c r="J12" s="333">
        <f>IF(G12=$D12,0,VLOOKUP(G12,'BD_BATI-EQUIPEMENTS'!$B$28:$L$31,9)-'BD_BATI-EQUIPEMENTS'!$J6)</f>
        <v>0</v>
      </c>
      <c r="K12" s="153">
        <f>IF(G12=$D12,$E12,VLOOKUP(G12,'BD_BATI-EQUIPEMENTS'!$B$28:$L$31,10))</f>
        <v>155520</v>
      </c>
      <c r="L12" s="154">
        <f>VLOOKUP(G12,'BD_BATI-EQUIPEMENTS'!$B$28:$L$31,11)</f>
        <v>0</v>
      </c>
      <c r="M12" s="34" t="s">
        <v>453</v>
      </c>
      <c r="N12" s="306" t="str">
        <f>VLOOKUP(M12,'BD_BATI-EQUIPEMENTS'!$B$28:$L$31,2)</f>
        <v>bonne durée de vie - perd sa qualité si humide</v>
      </c>
      <c r="O12" s="172" t="str">
        <f>VLOOKUP(M12,'BD_BATI-EQUIPEMENTS'!$B$28:$L$31,3)</f>
        <v>traiter le risque de bloquage de la vapeur d'eau</v>
      </c>
      <c r="P12" s="153">
        <f>IF(M12=$D12,0,VLOOKUP(M12,'BD_BATI-EQUIPEMENTS'!$B$28:$L$31,9)-'BD_BATI-EQUIPEMENTS'!$J6)</f>
        <v>86400</v>
      </c>
      <c r="Q12" s="153">
        <f>IF(M12=$D12,$E12,VLOOKUP(M12,'BD_BATI-EQUIPEMENTS'!$B$28:$L$31,10))</f>
        <v>49371.428571428522</v>
      </c>
      <c r="R12" s="154">
        <f>VLOOKUP(M12,'BD_BATI-EQUIPEMENTS'!$B$28:$L$31,11)</f>
        <v>0</v>
      </c>
      <c r="S12" s="32"/>
    </row>
    <row r="13" spans="1:19" x14ac:dyDescent="0.2">
      <c r="A13" s="36"/>
      <c r="B13" s="163"/>
      <c r="C13" s="400"/>
      <c r="D13" s="341"/>
      <c r="E13" s="337"/>
      <c r="F13" s="156"/>
      <c r="G13" s="122"/>
      <c r="H13" s="308"/>
      <c r="I13" s="176"/>
      <c r="J13" s="177"/>
      <c r="K13" s="155"/>
      <c r="L13" s="156"/>
      <c r="M13" s="122"/>
      <c r="N13" s="308"/>
      <c r="O13" s="176"/>
      <c r="P13" s="177"/>
      <c r="Q13" s="155"/>
      <c r="R13" s="156"/>
      <c r="S13" s="32"/>
    </row>
    <row r="14" spans="1:19" ht="38.25" x14ac:dyDescent="0.2">
      <c r="A14" s="36"/>
      <c r="B14" s="161" t="str">
        <f>'BD_BATI-EQUIPEMENTS'!B34</f>
        <v>Menuiseries</v>
      </c>
      <c r="C14" s="165" t="str">
        <f>C$7</f>
        <v>Quantité estimée</v>
      </c>
      <c r="D14" s="339" t="str">
        <f>D$7</f>
        <v>Solutions existantes</v>
      </c>
      <c r="E14" s="335" t="str">
        <f t="shared" ref="E14:F14" si="1">E$7</f>
        <v>Renouvellement</v>
      </c>
      <c r="F14" s="159" t="str">
        <f t="shared" si="1"/>
        <v>Coût annuel d'entretien/maintenance</v>
      </c>
      <c r="G14" s="157" t="str">
        <f t="shared" ref="G14:O14" si="2">G$7</f>
        <v>Solutions projet1</v>
      </c>
      <c r="H14" s="268" t="str">
        <f t="shared" si="2"/>
        <v>Commentaires</v>
      </c>
      <c r="I14" s="170" t="str">
        <f t="shared" si="2"/>
        <v>Recommandations</v>
      </c>
      <c r="J14" s="171" t="s">
        <v>326</v>
      </c>
      <c r="K14" s="158" t="s">
        <v>327</v>
      </c>
      <c r="L14" s="159" t="s">
        <v>325</v>
      </c>
      <c r="M14" s="157" t="str">
        <f t="shared" si="2"/>
        <v>Solutions projet 2</v>
      </c>
      <c r="N14" s="268" t="str">
        <f t="shared" si="2"/>
        <v>Commentaires</v>
      </c>
      <c r="O14" s="170" t="str">
        <f t="shared" si="2"/>
        <v>Recommandations</v>
      </c>
      <c r="P14" s="171" t="s">
        <v>326</v>
      </c>
      <c r="Q14" s="158" t="s">
        <v>327</v>
      </c>
      <c r="R14" s="159" t="s">
        <v>325</v>
      </c>
      <c r="S14" s="32"/>
    </row>
    <row r="15" spans="1:19" ht="25.5" x14ac:dyDescent="0.2">
      <c r="A15" s="36"/>
      <c r="B15" s="162" t="str">
        <f>'BD_BATI-EQUIPEMENTS'!B35</f>
        <v>Type de menuiserie</v>
      </c>
      <c r="C15" s="399">
        <f>Surf_Men</f>
        <v>936</v>
      </c>
      <c r="D15" s="340" t="s">
        <v>673</v>
      </c>
      <c r="E15" s="336">
        <f>VLOOKUP(D15,'BD_BATI-EQUIPEMENTS'!$B$36:$M$43,12)</f>
        <v>374400</v>
      </c>
      <c r="F15" s="154">
        <f>VLOOKUP(D15,'BD_BATI-EQUIPEMENTS'!$B$36:$L$43,11)</f>
        <v>104831.99999999999</v>
      </c>
      <c r="G15" s="340" t="s">
        <v>428</v>
      </c>
      <c r="H15" s="306" t="str">
        <f>VLOOKUP(G15,'BD_BATI-EQUIPEMENTS'!$B$36:$L$43,2)</f>
        <v>faible résistance, bonne performance, entretien régulier indispensable</v>
      </c>
      <c r="I15" s="332" t="str">
        <f>VLOOKUP(G15,'BD_BATI-EQUIPEMENTS'!$B$36:$L$43,3)</f>
        <v>prévoir un entretien quinquennal pour maintenir leur performance</v>
      </c>
      <c r="J15" s="333">
        <f>IF(G15=$D15,0,VLOOKUP(G15,'BD_BATI-EQUIPEMENTS'!$B$36:$L$43,9)-'BD_BATI-EQUIPEMENTS'!$J7)</f>
        <v>0</v>
      </c>
      <c r="K15" s="153">
        <f>IF(G15=$D15,$E15,VLOOKUP(G15,'BD_BATI-EQUIPEMENTS'!$B$36:$L$43,10))</f>
        <v>213408</v>
      </c>
      <c r="L15" s="154">
        <f>VLOOKUP(G15,'BD_BATI-EQUIPEMENTS'!$B$36:$L$43,11)</f>
        <v>0</v>
      </c>
      <c r="M15" s="34" t="s">
        <v>429</v>
      </c>
      <c r="N15" s="306" t="str">
        <f>VLOOKUP(M15,'BD_BATI-EQUIPEMENTS'!$B$36:$L$43,2)</f>
        <v>très résistant, sans entretien, performance moyenne</v>
      </c>
      <c r="O15" s="172" t="str">
        <f>VLOOKUP(M15,'BD_BATI-EQUIPEMENTS'!$B$36:$L$43,3)</f>
        <v>à privilégier pour les menuiseries  de grande taille</v>
      </c>
      <c r="P15" s="153">
        <f>IF(M15=$D15,0,VLOOKUP(M15,'BD_BATI-EQUIPEMENTS'!$B$36:$L$43,9)-'BD_BATI-EQUIPEMENTS'!$J7)</f>
        <v>112320</v>
      </c>
      <c r="Q15" s="153">
        <f>IF(M15=$D15,$E15,VLOOKUP(M15,'BD_BATI-EQUIPEMENTS'!$B$36:$L$43,10))</f>
        <v>66857.142857142841</v>
      </c>
      <c r="R15" s="154">
        <f>VLOOKUP(M15,'BD_BATI-EQUIPEMENTS'!$B$36:$L$43,11)</f>
        <v>0</v>
      </c>
      <c r="S15" s="32"/>
    </row>
    <row r="16" spans="1:19" x14ac:dyDescent="0.2">
      <c r="A16" s="36"/>
      <c r="B16" s="162" t="str">
        <f>'BD_BATI-EQUIPEMENTS'!B47</f>
        <v>Type d'ouvrant</v>
      </c>
      <c r="C16" s="399">
        <f>Surf_Men</f>
        <v>936</v>
      </c>
      <c r="D16" s="340" t="s">
        <v>436</v>
      </c>
      <c r="E16" s="336">
        <f>VLOOKUP(D16,'BD_BATI-EQUIPEMENTS'!$B$48:$M$50,12)</f>
        <v>0</v>
      </c>
      <c r="F16" s="154">
        <f>VLOOKUP(D16,'BD_BATI-EQUIPEMENTS'!$B$48:$L$50,11)</f>
        <v>0</v>
      </c>
      <c r="G16" s="340" t="str">
        <f>D16</f>
        <v>Non oscillo-battant</v>
      </c>
      <c r="H16" s="306" t="str">
        <f>VLOOKUP(G16,'BD_BATI-EQUIPEMENTS'!$B$48:$L$50,2)</f>
        <v>-</v>
      </c>
      <c r="I16" s="332" t="str">
        <f>VLOOKUP(G16,'BD_BATI-EQUIPEMENTS'!$B$48:$L$50,3)</f>
        <v>-</v>
      </c>
      <c r="J16" s="333">
        <f>IF(G16=$D16,0,VLOOKUP(G16,'BD_BATI-EQUIPEMENTS'!$B$48:$L$50,9)-'BD_BATI-EQUIPEMENTS'!$J8)</f>
        <v>0</v>
      </c>
      <c r="K16" s="153">
        <f>IF(G16=$D16,$E16,VLOOKUP(G16,'BD_BATI-EQUIPEMENTS'!$B$48:$L$50,10))</f>
        <v>0</v>
      </c>
      <c r="L16" s="154">
        <f>VLOOKUP(G16,'BD_BATI-EQUIPEMENTS'!$B$48:$L$50,11)</f>
        <v>0</v>
      </c>
      <c r="M16" s="34" t="str">
        <f>G16</f>
        <v>Non oscillo-battant</v>
      </c>
      <c r="N16" s="306" t="str">
        <f>VLOOKUP(M16,'BD_BATI-EQUIPEMENTS'!$B$48:$L$50,2)</f>
        <v>-</v>
      </c>
      <c r="O16" s="172" t="str">
        <f>VLOOKUP(M16,'BD_BATI-EQUIPEMENTS'!$B$48:$L$50,3)</f>
        <v>-</v>
      </c>
      <c r="P16" s="153">
        <f>IF(M16=$D16,0,VLOOKUP(M16,'BD_BATI-EQUIPEMENTS'!$B$48:$L$50,9)-'BD_BATI-EQUIPEMENTS'!$J8)</f>
        <v>0</v>
      </c>
      <c r="Q16" s="153">
        <f>IF(M16=$D16,$E16,VLOOKUP(M16,'BD_BATI-EQUIPEMENTS'!$B$48:$L$50,10))</f>
        <v>0</v>
      </c>
      <c r="R16" s="154">
        <f>VLOOKUP(M16,'BD_BATI-EQUIPEMENTS'!$B$48:$L$50,11)</f>
        <v>0</v>
      </c>
      <c r="S16" s="32"/>
    </row>
    <row r="17" spans="1:19" x14ac:dyDescent="0.2">
      <c r="A17" s="36"/>
      <c r="B17" s="163"/>
      <c r="C17" s="400"/>
      <c r="D17" s="341"/>
      <c r="E17" s="337"/>
      <c r="F17" s="156"/>
      <c r="G17" s="122"/>
      <c r="H17" s="307"/>
      <c r="I17" s="176"/>
      <c r="J17" s="177"/>
      <c r="K17" s="155"/>
      <c r="L17" s="156"/>
      <c r="M17" s="122"/>
      <c r="N17" s="307"/>
      <c r="O17" s="176"/>
      <c r="P17" s="177"/>
      <c r="Q17" s="155"/>
      <c r="R17" s="156"/>
      <c r="S17" s="32"/>
    </row>
    <row r="18" spans="1:19" ht="38.25" x14ac:dyDescent="0.2">
      <c r="A18" s="36"/>
      <c r="B18" s="161" t="str">
        <f>'BD_BATI-EQUIPEMENTS'!B53</f>
        <v>Occultations</v>
      </c>
      <c r="C18" s="165" t="str">
        <f>C$7</f>
        <v>Quantité estimée</v>
      </c>
      <c r="D18" s="339" t="str">
        <f>D$7</f>
        <v>Solutions existantes</v>
      </c>
      <c r="E18" s="335" t="str">
        <f t="shared" ref="E18:F18" si="3">E$7</f>
        <v>Renouvellement</v>
      </c>
      <c r="F18" s="159" t="str">
        <f t="shared" si="3"/>
        <v>Coût annuel d'entretien/maintenance</v>
      </c>
      <c r="G18" s="157" t="str">
        <f t="shared" ref="G18:O18" si="4">G$7</f>
        <v>Solutions projet1</v>
      </c>
      <c r="H18" s="268" t="str">
        <f t="shared" si="4"/>
        <v>Commentaires</v>
      </c>
      <c r="I18" s="170" t="str">
        <f t="shared" si="4"/>
        <v>Recommandations</v>
      </c>
      <c r="J18" s="171" t="s">
        <v>326</v>
      </c>
      <c r="K18" s="158" t="s">
        <v>327</v>
      </c>
      <c r="L18" s="159" t="s">
        <v>325</v>
      </c>
      <c r="M18" s="157" t="str">
        <f t="shared" si="4"/>
        <v>Solutions projet 2</v>
      </c>
      <c r="N18" s="268" t="str">
        <f t="shared" si="4"/>
        <v>Commentaires</v>
      </c>
      <c r="O18" s="170" t="str">
        <f t="shared" si="4"/>
        <v>Recommandations</v>
      </c>
      <c r="P18" s="171" t="s">
        <v>326</v>
      </c>
      <c r="Q18" s="158" t="s">
        <v>327</v>
      </c>
      <c r="R18" s="159" t="s">
        <v>325</v>
      </c>
      <c r="S18" s="32"/>
    </row>
    <row r="19" spans="1:19" ht="25.5" x14ac:dyDescent="0.2">
      <c r="A19" s="36"/>
      <c r="B19" s="162" t="str">
        <f>'BD_BATI-EQUIPEMENTS'!B54</f>
        <v>Type d'occultation extérieure</v>
      </c>
      <c r="C19" s="399">
        <f>Surf_Men</f>
        <v>936</v>
      </c>
      <c r="D19" s="340" t="s">
        <v>421</v>
      </c>
      <c r="E19" s="336">
        <f>VLOOKUP(D19,'BD_BATI-EQUIPEMENTS'!$B$55:$M$61,12)</f>
        <v>149760</v>
      </c>
      <c r="F19" s="154">
        <f>VLOOKUP(D19,'BD_BATI-EQUIPEMENTS'!$B$55:$L$61,11)</f>
        <v>0</v>
      </c>
      <c r="G19" s="375" t="str">
        <f>D19</f>
        <v>Volets persiennés métal</v>
      </c>
      <c r="H19" s="306" t="str">
        <f>VLOOKUP(G19,'BD_BATI-EQUIPEMENTS'!$B$55:$L$61,2)</f>
        <v>permettent de bien réguler la ventilation naturelle et l'éclairage</v>
      </c>
      <c r="I19" s="332" t="str">
        <f>VLOOKUP(G19,'BD_BATI-EQUIPEMENTS'!$B$55:$L$61,3)</f>
        <v>à préférer sur les façades entre sud et nord-ouest - envisager des volets à projection</v>
      </c>
      <c r="J19" s="333">
        <f>IF(G19=$D19,0,VLOOKUP(G19,'BD_BATI-EQUIPEMENTS'!$B$55:$L$61,9)-'BD_BATI-EQUIPEMENTS'!$J9)</f>
        <v>0</v>
      </c>
      <c r="K19" s="153">
        <f>IF(G19=$D19,$E19,VLOOKUP(G19,'BD_BATI-EQUIPEMENTS'!$B$55:$L$61,10))</f>
        <v>149760</v>
      </c>
      <c r="L19" s="154">
        <f>VLOOKUP(G19,'BD_BATI-EQUIPEMENTS'!$B$55:$L$61,11)</f>
        <v>0</v>
      </c>
      <c r="M19" s="34" t="str">
        <f>G19</f>
        <v>Volets persiennés métal</v>
      </c>
      <c r="N19" s="306" t="str">
        <f>VLOOKUP(M19,'BD_BATI-EQUIPEMENTS'!$B$55:$L$61,2)</f>
        <v>permettent de bien réguler la ventilation naturelle et l'éclairage</v>
      </c>
      <c r="O19" s="172" t="str">
        <f>VLOOKUP(M19,'BD_BATI-EQUIPEMENTS'!$B$55:$L$61,3)</f>
        <v>à préférer sur les façades entre sud et nord-ouest - envisager des volets à projection</v>
      </c>
      <c r="P19" s="153">
        <f>IF(M19=$D19,0,VLOOKUP(M19,'BD_BATI-EQUIPEMENTS'!$B$55:$L$61,9)-'BD_BATI-EQUIPEMENTS'!$J9)</f>
        <v>0</v>
      </c>
      <c r="Q19" s="153">
        <f>IF(M19=$D19,$E19,VLOOKUP(M19,'BD_BATI-EQUIPEMENTS'!$B$55:$L$61,10))</f>
        <v>149760</v>
      </c>
      <c r="R19" s="154">
        <f>VLOOKUP(M19,'BD_BATI-EQUIPEMENTS'!$B$55:$L$61,11)</f>
        <v>0</v>
      </c>
      <c r="S19" s="32"/>
    </row>
    <row r="20" spans="1:19" x14ac:dyDescent="0.2">
      <c r="A20" s="36"/>
      <c r="B20" s="163"/>
      <c r="C20" s="400"/>
      <c r="D20" s="341"/>
      <c r="E20" s="144"/>
      <c r="F20" s="152"/>
      <c r="G20" s="122"/>
      <c r="H20" s="307"/>
      <c r="I20" s="173"/>
      <c r="J20" s="174"/>
      <c r="K20" s="123"/>
      <c r="L20" s="152"/>
      <c r="M20" s="122"/>
      <c r="N20" s="307"/>
      <c r="O20" s="173"/>
      <c r="P20" s="174"/>
      <c r="Q20" s="123"/>
      <c r="R20" s="152"/>
      <c r="S20" s="32"/>
    </row>
    <row r="21" spans="1:19" s="394" customFormat="1" ht="38.25" x14ac:dyDescent="0.2">
      <c r="A21" s="575"/>
      <c r="B21" s="576" t="str">
        <f>'BD_BATI-EQUIPEMENTS'!B64</f>
        <v>Toiture</v>
      </c>
      <c r="C21" s="165" t="str">
        <f>C$7</f>
        <v>Quantité estimée</v>
      </c>
      <c r="D21" s="577" t="str">
        <f>D$7</f>
        <v>Solutions existantes</v>
      </c>
      <c r="E21" s="335" t="str">
        <f t="shared" ref="E21:F21" si="5">E$7</f>
        <v>Renouvellement</v>
      </c>
      <c r="F21" s="165" t="str">
        <f t="shared" si="5"/>
        <v>Coût annuel d'entretien/maintenance</v>
      </c>
      <c r="G21" s="578" t="str">
        <f t="shared" ref="G21:O21" si="6">G$7</f>
        <v>Solutions projet1</v>
      </c>
      <c r="H21" s="268" t="str">
        <f t="shared" si="6"/>
        <v>Commentaires</v>
      </c>
      <c r="I21" s="579" t="str">
        <f t="shared" si="6"/>
        <v>Recommandations</v>
      </c>
      <c r="J21" s="265" t="s">
        <v>326</v>
      </c>
      <c r="K21" s="268" t="s">
        <v>327</v>
      </c>
      <c r="L21" s="165" t="s">
        <v>325</v>
      </c>
      <c r="M21" s="578" t="str">
        <f t="shared" si="6"/>
        <v>Solutions projet 2</v>
      </c>
      <c r="N21" s="268" t="str">
        <f t="shared" si="6"/>
        <v>Commentaires</v>
      </c>
      <c r="O21" s="579" t="str">
        <f t="shared" si="6"/>
        <v>Recommandations</v>
      </c>
      <c r="P21" s="265" t="s">
        <v>326</v>
      </c>
      <c r="Q21" s="268" t="s">
        <v>327</v>
      </c>
      <c r="R21" s="165" t="s">
        <v>325</v>
      </c>
      <c r="S21" s="580"/>
    </row>
    <row r="22" spans="1:19" s="394" customFormat="1" ht="25.5" x14ac:dyDescent="0.2">
      <c r="A22" s="575"/>
      <c r="B22" s="581" t="str">
        <f>'BD_BATI-EQUIPEMENTS'!B65</f>
        <v xml:space="preserve">Type de toiture et d'isolation </v>
      </c>
      <c r="C22" s="399">
        <f>Surf_Phaut</f>
        <v>500</v>
      </c>
      <c r="D22" s="582" t="s">
        <v>691</v>
      </c>
      <c r="E22" s="406">
        <f>VLOOKUP(D22,'BD_BATI-EQUIPEMENTS'!$B$66:$M$78,12)</f>
        <v>0</v>
      </c>
      <c r="F22" s="583">
        <f>VLOOKUP(D22,'BD_BATI-EQUIPEMENTS'!$B$66:$L$78,11)</f>
        <v>40000</v>
      </c>
      <c r="G22" s="375" t="s">
        <v>685</v>
      </c>
      <c r="H22" s="306" t="str">
        <f>VLOOKUP(G22,'BD_BATI-EQUIPEMENTS'!$B$66:$L$78,2)</f>
        <v>-</v>
      </c>
      <c r="I22" s="584" t="str">
        <f>VLOOKUP(G22,'BD_BATI-EQUIPEMENTS'!$B$66:$L$78,3)</f>
        <v>prévoir une isolation thermique</v>
      </c>
      <c r="J22" s="585">
        <f>IF(G22=$D22,0,VLOOKUP(G22,'BD_BATI-EQUIPEMENTS'!$B$66:$L$78,9)-'BD_BATI-EQUIPEMENTS'!$J10)</f>
        <v>-45000</v>
      </c>
      <c r="K22" s="574">
        <f>IF(G22=$D22,$E22,VLOOKUP(G22,'BD_BATI-EQUIPEMENTS'!$B$66:$L$78,10))</f>
        <v>0</v>
      </c>
      <c r="L22" s="583">
        <f>VLOOKUP(G22,'BD_BATI-EQUIPEMENTS'!$B$66:$L$78,11)</f>
        <v>8000</v>
      </c>
      <c r="M22" s="34" t="s">
        <v>687</v>
      </c>
      <c r="N22" s="306" t="str">
        <f>VLOOKUP(M22,'BD_BATI-EQUIPEMENTS'!$B$66:$L$78,2)</f>
        <v>-</v>
      </c>
      <c r="O22" s="586" t="str">
        <f>VLOOKUP(M22,'BD_BATI-EQUIPEMENTS'!$B$66:$L$78,3)</f>
        <v>prévoir une isolation thermique</v>
      </c>
      <c r="P22" s="574">
        <f>IF(M22=$D22,0,VLOOKUP(M22,'BD_BATI-EQUIPEMENTS'!$B$66:$L$78,9)-'BD_BATI-EQUIPEMENTS'!$J10)</f>
        <v>-45000</v>
      </c>
      <c r="Q22" s="574">
        <f>IF(M22=$D22,$E22,VLOOKUP(M22,'BD_BATI-EQUIPEMENTS'!$B$66:$L$78,10))</f>
        <v>0</v>
      </c>
      <c r="R22" s="583">
        <f>VLOOKUP(M22,'BD_BATI-EQUIPEMENTS'!$B$66:$L$78,11)</f>
        <v>8000</v>
      </c>
      <c r="S22" s="580"/>
    </row>
    <row r="23" spans="1:19" x14ac:dyDescent="0.2">
      <c r="A23" s="36"/>
      <c r="B23" s="164"/>
      <c r="C23" s="400"/>
      <c r="D23" s="341"/>
      <c r="E23" s="144"/>
      <c r="F23" s="152"/>
      <c r="G23" s="122"/>
      <c r="H23" s="307"/>
      <c r="I23" s="173"/>
      <c r="J23" s="174"/>
      <c r="K23" s="123"/>
      <c r="L23" s="152"/>
      <c r="M23" s="122"/>
      <c r="N23" s="307"/>
      <c r="O23" s="173"/>
      <c r="P23" s="174"/>
      <c r="Q23" s="123"/>
      <c r="R23" s="152"/>
      <c r="S23" s="32"/>
    </row>
    <row r="24" spans="1:19" s="731" customFormat="1" ht="16.5" thickBot="1" x14ac:dyDescent="0.25">
      <c r="A24" s="727"/>
      <c r="B24" s="728" t="s">
        <v>172</v>
      </c>
      <c r="C24" s="729"/>
      <c r="D24" s="826" t="str">
        <f>D5</f>
        <v>EXISTANT</v>
      </c>
      <c r="E24" s="827"/>
      <c r="F24" s="828"/>
      <c r="G24" s="826" t="str">
        <f>G5</f>
        <v>PROJET 1</v>
      </c>
      <c r="H24" s="827"/>
      <c r="I24" s="827"/>
      <c r="J24" s="827"/>
      <c r="K24" s="827"/>
      <c r="L24" s="828"/>
      <c r="M24" s="826" t="str">
        <f>M5</f>
        <v>PROJET 2</v>
      </c>
      <c r="N24" s="827"/>
      <c r="O24" s="827"/>
      <c r="P24" s="827"/>
      <c r="Q24" s="827"/>
      <c r="R24" s="828"/>
      <c r="S24" s="730"/>
    </row>
    <row r="25" spans="1:19" x14ac:dyDescent="0.2">
      <c r="A25" s="112"/>
      <c r="B25" s="160"/>
      <c r="C25" s="398"/>
      <c r="D25" s="342"/>
      <c r="E25" s="338"/>
      <c r="F25" s="151"/>
      <c r="G25" s="114"/>
      <c r="H25" s="305"/>
      <c r="I25" s="168"/>
      <c r="J25" s="169"/>
      <c r="K25" s="112"/>
      <c r="L25" s="112"/>
      <c r="M25" s="114"/>
      <c r="N25" s="305"/>
      <c r="O25" s="168"/>
      <c r="P25" s="169"/>
      <c r="Q25" s="112"/>
      <c r="R25" s="113"/>
      <c r="S25" s="32"/>
    </row>
    <row r="26" spans="1:19" ht="38.25" x14ac:dyDescent="0.2">
      <c r="A26" s="36"/>
      <c r="B26" s="161" t="str">
        <f>'BD_BATI-EQUIPEMENTS'!B81</f>
        <v>Chauffage</v>
      </c>
      <c r="C26" s="165" t="str">
        <f>C$7</f>
        <v>Quantité estimée</v>
      </c>
      <c r="D26" s="339" t="str">
        <f>D$7</f>
        <v>Solutions existantes</v>
      </c>
      <c r="E26" s="335" t="str">
        <f t="shared" ref="E26:F26" si="7">E$7</f>
        <v>Renouvellement</v>
      </c>
      <c r="F26" s="159" t="str">
        <f t="shared" si="7"/>
        <v>Coût annuel d'entretien/maintenance</v>
      </c>
      <c r="G26" s="157" t="str">
        <f t="shared" ref="G26:O26" si="8">G$7</f>
        <v>Solutions projet1</v>
      </c>
      <c r="H26" s="268" t="str">
        <f t="shared" si="8"/>
        <v>Commentaires</v>
      </c>
      <c r="I26" s="170" t="str">
        <f t="shared" si="8"/>
        <v>Recommandations</v>
      </c>
      <c r="J26" s="171" t="s">
        <v>335</v>
      </c>
      <c r="K26" s="158" t="s">
        <v>327</v>
      </c>
      <c r="L26" s="159" t="s">
        <v>325</v>
      </c>
      <c r="M26" s="157" t="str">
        <f t="shared" si="8"/>
        <v>Solutions projet 2</v>
      </c>
      <c r="N26" s="268" t="str">
        <f>N$7</f>
        <v>Commentaires</v>
      </c>
      <c r="O26" s="170" t="str">
        <f t="shared" si="8"/>
        <v>Recommandations</v>
      </c>
      <c r="P26" s="171" t="s">
        <v>335</v>
      </c>
      <c r="Q26" s="158" t="s">
        <v>327</v>
      </c>
      <c r="R26" s="159" t="s">
        <v>325</v>
      </c>
      <c r="S26" s="32"/>
    </row>
    <row r="27" spans="1:19" ht="25.5" x14ac:dyDescent="0.2">
      <c r="A27" s="36"/>
      <c r="B27" s="162" t="str">
        <f>'BD_BATI-EQUIPEMENTS'!B82</f>
        <v>Système production chauffage</v>
      </c>
      <c r="C27" s="399"/>
      <c r="D27" s="340" t="s">
        <v>457</v>
      </c>
      <c r="E27" s="406">
        <f>VLOOKUP(D27,'BD_BATI-EQUIPEMENTS'!$B$83:$M$90,12)</f>
        <v>13333.333333333332</v>
      </c>
      <c r="F27" s="154">
        <f>VLOOKUP(D27,'BD_BATI-EQUIPEMENTS'!$B$83:$L$90,11)</f>
        <v>145728</v>
      </c>
      <c r="G27" s="375" t="s">
        <v>465</v>
      </c>
      <c r="H27" s="306" t="str">
        <f>VLOOKUP(G27,'BD_BATI-EQUIPEMENTS'!$B$83:$L$90,2)</f>
        <v>coût du combustible fluctuant - mauvais bilan carbone</v>
      </c>
      <c r="I27" s="332" t="str">
        <f>VLOOKUP(G27,'BD_BATI-EQUIPEMENTS'!$B$83:$L$90,3)</f>
        <v>bien traiter l'isolation des réseaux collectifs</v>
      </c>
      <c r="J27" s="617">
        <f>IF(G27=$D27,0,VLOOKUP(G27,'BD_BATI-EQUIPEMENTS'!$B$83:$L$90,9))</f>
        <v>10000</v>
      </c>
      <c r="K27" s="153">
        <f>IF(G27=$D27,$E27,VLOOKUP(G27,'BD_BATI-EQUIPEMENTS'!$B$83:$L$90,10))</f>
        <v>3333.3333333333321</v>
      </c>
      <c r="L27" s="154">
        <f>VLOOKUP(G27,'BD_BATI-EQUIPEMENTS'!$B$83:$L$90,11)</f>
        <v>145728</v>
      </c>
      <c r="M27" s="34" t="s">
        <v>459</v>
      </c>
      <c r="N27" s="306" t="str">
        <f>VLOOKUP(M27,'BD_BATI-EQUIPEMENTS'!$B$83:$L$90,2)</f>
        <v>à coordonner avec le concessionnaire</v>
      </c>
      <c r="O27" s="172" t="str">
        <f>VLOOKUP(M27,'BD_BATI-EQUIPEMENTS'!$B$83:$L$90,3)</f>
        <v>bien traiter l'isolation des réseaux collectifs</v>
      </c>
      <c r="P27" s="618">
        <f>IF(M27=$D27,0,VLOOKUP(M27,'BD_BATI-EQUIPEMENTS'!$B$83:$L$90,9))</f>
        <v>10000</v>
      </c>
      <c r="Q27" s="153">
        <f>IF(M27=$D27,$E27,VLOOKUP(M27,'BD_BATI-EQUIPEMENTS'!$B$83:$L$90,10))</f>
        <v>3333.3333333333321</v>
      </c>
      <c r="R27" s="154">
        <f>VLOOKUP(M27,'BD_BATI-EQUIPEMENTS'!$B$83:$L$90,11)</f>
        <v>136528</v>
      </c>
      <c r="S27" s="32"/>
    </row>
    <row r="28" spans="1:19" x14ac:dyDescent="0.2">
      <c r="A28" s="36"/>
      <c r="B28" s="162" t="str">
        <f>'BD_BATI-EQUIPEMENTS'!B94</f>
        <v>Emission</v>
      </c>
      <c r="C28" s="399"/>
      <c r="D28" s="340" t="s">
        <v>169</v>
      </c>
      <c r="E28" s="406">
        <f>VLOOKUP(D28,'BD_BATI-EQUIPEMENTS'!$B$95:$M$96,12)</f>
        <v>94628.571428571435</v>
      </c>
      <c r="F28" s="154">
        <f>VLOOKUP(D28,'BD_BATI-EQUIPEMENTS'!$B$95:$L$96,11)</f>
        <v>36800</v>
      </c>
      <c r="G28" s="375" t="str">
        <f>D28</f>
        <v>Radiative murale</v>
      </c>
      <c r="H28" s="306" t="str">
        <f>VLOOKUP(G28,'BD_BATI-EQUIPEMENTS'!$B$95:$L$96,2)</f>
        <v>solution traditionnelle - équilibrage nécessaire</v>
      </c>
      <c r="I28" s="332" t="str">
        <f>VLOOKUP(G28,'BD_BATI-EQUIPEMENTS'!$B$95:$L$96,3)</f>
        <v>réaliser un désembouage quinquennal</v>
      </c>
      <c r="J28" s="334">
        <f>IF(G28=$D28,0,VLOOKUP(G28,'BD_BATI-EQUIPEMENTS'!$B$95:$L$96,9))</f>
        <v>0</v>
      </c>
      <c r="K28" s="153">
        <f>IF(G28=$D28,$E28,VLOOKUP(G28,'BD_BATI-EQUIPEMENTS'!$B$95:$L$96,10))</f>
        <v>94628.571428571435</v>
      </c>
      <c r="L28" s="154">
        <f>VLOOKUP(G28,'BD_BATI-EQUIPEMENTS'!$B$95:$L$96,11)</f>
        <v>36800</v>
      </c>
      <c r="M28" s="34" t="str">
        <f>G28</f>
        <v>Radiative murale</v>
      </c>
      <c r="N28" s="306" t="str">
        <f>VLOOKUP(M28,'BD_BATI-EQUIPEMENTS'!$B$95:$L$96,2)</f>
        <v>solution traditionnelle - équilibrage nécessaire</v>
      </c>
      <c r="O28" s="172" t="str">
        <f>VLOOKUP(M28,'BD_BATI-EQUIPEMENTS'!$B$95:$L$96,3)</f>
        <v>réaliser un désembouage quinquennal</v>
      </c>
      <c r="P28" s="316">
        <f>IF(M28=$D28,0,VLOOKUP(M28,'BD_BATI-EQUIPEMENTS'!$B$95:$L$96,9))</f>
        <v>0</v>
      </c>
      <c r="Q28" s="153">
        <f>IF(M28=$D28,$E28,VLOOKUP(M28,'BD_BATI-EQUIPEMENTS'!$B$95:$L$96,10))</f>
        <v>94628.571428571435</v>
      </c>
      <c r="R28" s="154">
        <f>VLOOKUP(M28,'BD_BATI-EQUIPEMENTS'!$B$95:$L$96,11)</f>
        <v>36800</v>
      </c>
      <c r="S28" s="32"/>
    </row>
    <row r="29" spans="1:19" ht="25.5" x14ac:dyDescent="0.2">
      <c r="A29" s="36"/>
      <c r="B29" s="162" t="str">
        <f>'BD_BATI-EQUIPEMENTS'!B98</f>
        <v>Régulation</v>
      </c>
      <c r="C29" s="399"/>
      <c r="D29" s="340" t="s">
        <v>167</v>
      </c>
      <c r="E29" s="406">
        <f>VLOOKUP(D29,'BD_BATI-EQUIPEMENTS'!$B$99:$M$103,12)</f>
        <v>13333.333333333332</v>
      </c>
      <c r="F29" s="154">
        <f>VLOOKUP(D29,'BD_BATI-EQUIPEMENTS'!$B$99:$L$103,11)</f>
        <v>26000</v>
      </c>
      <c r="G29" s="375" t="str">
        <f>D29</f>
        <v>Collective</v>
      </c>
      <c r="H29" s="306" t="str">
        <f>VLOOKUP(G29,'BD_BATI-EQUIPEMENTS'!$B$99:$L$103,2)</f>
        <v>difficulté majeure à réguler de manière efficace</v>
      </c>
      <c r="I29" s="332" t="str">
        <f>VLOOKUP(G29,'BD_BATI-EQUIPEMENTS'!$B$99:$L$103,3)</f>
        <v>étudier la mise en place d'une régulation par logement</v>
      </c>
      <c r="J29" s="334">
        <f>IF(G29=$D29,0,VLOOKUP(G29,'BD_BATI-EQUIPEMENTS'!$B$99:$L$103,9))</f>
        <v>0</v>
      </c>
      <c r="K29" s="153">
        <f>IF(G29=$D29,$E29,VLOOKUP(G29,'BD_BATI-EQUIPEMENTS'!$B$99:$L$103,10))</f>
        <v>13333.333333333332</v>
      </c>
      <c r="L29" s="154">
        <f>VLOOKUP(G29,'BD_BATI-EQUIPEMENTS'!$B$99:$L$103,11)</f>
        <v>26000</v>
      </c>
      <c r="M29" s="34" t="str">
        <f>G29</f>
        <v>Collective</v>
      </c>
      <c r="N29" s="306" t="str">
        <f>VLOOKUP(M29,'BD_BATI-EQUIPEMENTS'!$B$99:$L$103,2)</f>
        <v>difficulté majeure à réguler de manière efficace</v>
      </c>
      <c r="O29" s="172" t="str">
        <f>VLOOKUP(M29,'BD_BATI-EQUIPEMENTS'!$B$99:$L$103,3)</f>
        <v>étudier la mise en place d'une régulation par logement</v>
      </c>
      <c r="P29" s="316">
        <f>IF(M29=$D29,0,VLOOKUP(M29,'BD_BATI-EQUIPEMENTS'!$B$99:$L$103,9))</f>
        <v>0</v>
      </c>
      <c r="Q29" s="153">
        <f>IF(M29=$D29,$E29,VLOOKUP(M29,'BD_BATI-EQUIPEMENTS'!$B$99:$L$103,10))</f>
        <v>13333.333333333332</v>
      </c>
      <c r="R29" s="154">
        <f>VLOOKUP(M29,'BD_BATI-EQUIPEMENTS'!$B$99:$L$103,11)</f>
        <v>26000</v>
      </c>
      <c r="S29" s="32"/>
    </row>
    <row r="30" spans="1:19" x14ac:dyDescent="0.2">
      <c r="A30" s="36"/>
      <c r="B30" s="164"/>
      <c r="C30" s="400"/>
      <c r="D30" s="341"/>
      <c r="E30" s="144"/>
      <c r="F30" s="152"/>
      <c r="G30" s="122"/>
      <c r="H30" s="307"/>
      <c r="I30" s="173"/>
      <c r="J30" s="174"/>
      <c r="K30" s="123"/>
      <c r="L30" s="152"/>
      <c r="M30" s="122"/>
      <c r="N30" s="307"/>
      <c r="O30" s="173"/>
      <c r="P30" s="174"/>
      <c r="Q30" s="123"/>
      <c r="R30" s="152"/>
      <c r="S30" s="32"/>
    </row>
    <row r="31" spans="1:19" ht="38.25" x14ac:dyDescent="0.2">
      <c r="A31" s="36"/>
      <c r="B31" s="161" t="str">
        <f>'BD_BATI-EQUIPEMENTS'!B105</f>
        <v>ECS</v>
      </c>
      <c r="C31" s="165" t="str">
        <f>C$7</f>
        <v>Quantité estimée</v>
      </c>
      <c r="D31" s="339" t="str">
        <f>D$7</f>
        <v>Solutions existantes</v>
      </c>
      <c r="E31" s="335" t="str">
        <f t="shared" ref="E31:F31" si="9">E$7</f>
        <v>Renouvellement</v>
      </c>
      <c r="F31" s="159" t="str">
        <f t="shared" si="9"/>
        <v>Coût annuel d'entretien/maintenance</v>
      </c>
      <c r="G31" s="157" t="str">
        <f t="shared" ref="G31:O31" si="10">G$7</f>
        <v>Solutions projet1</v>
      </c>
      <c r="H31" s="268" t="str">
        <f t="shared" si="10"/>
        <v>Commentaires</v>
      </c>
      <c r="I31" s="170" t="str">
        <f t="shared" si="10"/>
        <v>Recommandations</v>
      </c>
      <c r="J31" s="171" t="s">
        <v>335</v>
      </c>
      <c r="K31" s="158" t="s">
        <v>327</v>
      </c>
      <c r="L31" s="159" t="s">
        <v>325</v>
      </c>
      <c r="M31" s="157" t="str">
        <f t="shared" si="10"/>
        <v>Solutions projet 2</v>
      </c>
      <c r="N31" s="268" t="str">
        <f t="shared" si="10"/>
        <v>Commentaires</v>
      </c>
      <c r="O31" s="170" t="str">
        <f t="shared" si="10"/>
        <v>Recommandations</v>
      </c>
      <c r="P31" s="171" t="s">
        <v>335</v>
      </c>
      <c r="Q31" s="158" t="s">
        <v>327</v>
      </c>
      <c r="R31" s="159" t="s">
        <v>325</v>
      </c>
      <c r="S31" s="32"/>
    </row>
    <row r="32" spans="1:19" ht="25.5" x14ac:dyDescent="0.2">
      <c r="A32" s="36"/>
      <c r="B32" s="162" t="str">
        <f>'BD_BATI-EQUIPEMENTS'!B106</f>
        <v>Système production ECS</v>
      </c>
      <c r="C32" s="399"/>
      <c r="D32" s="340" t="s">
        <v>457</v>
      </c>
      <c r="E32" s="406">
        <f>VLOOKUP(D32,'BD_BATI-EQUIPEMENTS'!$B$107:$M$117,12)</f>
        <v>6666.6666666666661</v>
      </c>
      <c r="F32" s="154">
        <f>VLOOKUP(D32,'BD_BATI-EQUIPEMENTS'!$B$107:$L$117,11)</f>
        <v>0</v>
      </c>
      <c r="G32" s="375" t="s">
        <v>462</v>
      </c>
      <c r="H32" s="306" t="str">
        <f>VLOOKUP(G32,'BD_BATI-EQUIPEMENTS'!$B$107:$L$117,2)</f>
        <v>-</v>
      </c>
      <c r="I32" s="332" t="str">
        <f>VLOOKUP(G32,'BD_BATI-EQUIPEMENTS'!$B$107:$L$117,3)</f>
        <v xml:space="preserve">vérifier l'état de la distribution et l'équilibrage et sur-isoler la distribution et le retour de boucle </v>
      </c>
      <c r="J32" s="617">
        <f>IF(G32=$D32,0,VLOOKUP(G32,'BD_BATI-EQUIPEMENTS'!$B$107:$L$117,9))</f>
        <v>5000</v>
      </c>
      <c r="K32" s="153">
        <f>IF(G32=$D32,$E32,VLOOKUP(G32,'BD_BATI-EQUIPEMENTS'!$B$107:$L$117,10))</f>
        <v>1666.6666666666661</v>
      </c>
      <c r="L32" s="154">
        <f>VLOOKUP(G32,'BD_BATI-EQUIPEMENTS'!$B$107:$L$117,11)</f>
        <v>0</v>
      </c>
      <c r="M32" s="34" t="s">
        <v>467</v>
      </c>
      <c r="N32" s="306" t="str">
        <f>VLOOKUP(M32,'BD_BATI-EQUIPEMENTS'!$B$107:$L$117,2)</f>
        <v>-</v>
      </c>
      <c r="O32" s="172" t="str">
        <f>VLOOKUP(M32,'BD_BATI-EQUIPEMENTS'!$B$107:$L$117,3)</f>
        <v xml:space="preserve">vérifier l'état de la distribution et l'équilibrage et sur-isoler la distribution et le retour de boucle </v>
      </c>
      <c r="P32" s="618">
        <f>IF(M32=$D32,0,VLOOKUP(M32,'BD_BATI-EQUIPEMENTS'!$B$107:$L$117,9))</f>
        <v>5000</v>
      </c>
      <c r="Q32" s="153">
        <f>IF(M32=$D32,$E32,VLOOKUP(M32,'BD_BATI-EQUIPEMENTS'!$B$107:$L$117,10))</f>
        <v>1666.6666666666661</v>
      </c>
      <c r="R32" s="154">
        <f>VLOOKUP(M32,'BD_BATI-EQUIPEMENTS'!$B$107:$L$117,11)</f>
        <v>0</v>
      </c>
      <c r="S32" s="32"/>
    </row>
    <row r="33" spans="1:19" x14ac:dyDescent="0.2">
      <c r="A33" s="36"/>
      <c r="B33" s="164"/>
      <c r="C33" s="400"/>
      <c r="D33" s="341"/>
      <c r="E33" s="144"/>
      <c r="F33" s="152"/>
      <c r="G33" s="122"/>
      <c r="H33" s="307"/>
      <c r="I33" s="173"/>
      <c r="J33" s="174"/>
      <c r="K33" s="123"/>
      <c r="L33" s="152"/>
      <c r="M33" s="122"/>
      <c r="N33" s="307"/>
      <c r="O33" s="173"/>
      <c r="P33" s="174"/>
      <c r="Q33" s="123"/>
      <c r="R33" s="152"/>
      <c r="S33" s="32"/>
    </row>
    <row r="34" spans="1:19" ht="38.25" x14ac:dyDescent="0.2">
      <c r="A34" s="36"/>
      <c r="B34" s="161" t="str">
        <f>'BD_BATI-EQUIPEMENTS'!B121</f>
        <v>Ventilation</v>
      </c>
      <c r="C34" s="165" t="str">
        <f>C$7</f>
        <v>Quantité estimée</v>
      </c>
      <c r="D34" s="339" t="str">
        <f>D$7</f>
        <v>Solutions existantes</v>
      </c>
      <c r="E34" s="335" t="str">
        <f t="shared" ref="E34:F34" si="11">E$7</f>
        <v>Renouvellement</v>
      </c>
      <c r="F34" s="159" t="str">
        <f t="shared" si="11"/>
        <v>Coût annuel d'entretien/maintenance</v>
      </c>
      <c r="G34" s="157" t="str">
        <f t="shared" ref="G34:O34" si="12">G$7</f>
        <v>Solutions projet1</v>
      </c>
      <c r="H34" s="268" t="str">
        <f t="shared" si="12"/>
        <v>Commentaires</v>
      </c>
      <c r="I34" s="170" t="str">
        <f t="shared" si="12"/>
        <v>Recommandations</v>
      </c>
      <c r="J34" s="171" t="s">
        <v>335</v>
      </c>
      <c r="K34" s="158" t="s">
        <v>327</v>
      </c>
      <c r="L34" s="159" t="s">
        <v>325</v>
      </c>
      <c r="M34" s="157" t="str">
        <f t="shared" si="12"/>
        <v>Solutions projet 2</v>
      </c>
      <c r="N34" s="268" t="str">
        <f t="shared" si="12"/>
        <v>Commentaires</v>
      </c>
      <c r="O34" s="170" t="str">
        <f t="shared" si="12"/>
        <v>Recommandations</v>
      </c>
      <c r="P34" s="171" t="s">
        <v>335</v>
      </c>
      <c r="Q34" s="158" t="s">
        <v>327</v>
      </c>
      <c r="R34" s="159" t="s">
        <v>325</v>
      </c>
      <c r="S34" s="32"/>
    </row>
    <row r="35" spans="1:19" ht="38.25" x14ac:dyDescent="0.2">
      <c r="A35" s="36"/>
      <c r="B35" s="162" t="str">
        <f>'BD_BATI-EQUIPEMENTS'!B122</f>
        <v>Système de ventilation</v>
      </c>
      <c r="C35" s="399"/>
      <c r="D35" s="340" t="s">
        <v>511</v>
      </c>
      <c r="E35" s="406">
        <f>VLOOKUP(D35,'BD_BATI-EQUIPEMENTS'!$B$123:$M$128,12)</f>
        <v>154000</v>
      </c>
      <c r="F35" s="154">
        <f>VLOOKUP(D35,'BD_BATI-EQUIPEMENTS'!$B$123:$L$128,11)</f>
        <v>48000</v>
      </c>
      <c r="G35" s="375" t="str">
        <f>D35</f>
        <v>Collective - VMC</v>
      </c>
      <c r="H35" s="306" t="str">
        <f>VLOOKUP(G35,'BD_BATI-EQUIPEMENTS'!$B$123:$L$128,2)</f>
        <v>peut nécessiter un tubage des conduits existants</v>
      </c>
      <c r="I35" s="332" t="str">
        <f>VLOOKUP(G35,'BD_BATI-EQUIPEMENTS'!$B$123:$L$128,3)</f>
        <v>assurer une maintenance annuelle sur les extracteurs et bouches - nettoyage quinquennal des conduites</v>
      </c>
      <c r="J35" s="334">
        <f>IF(G35=$D35,0,VLOOKUP(G35,'BD_BATI-EQUIPEMENTS'!$B$123:$L$128,9))</f>
        <v>0</v>
      </c>
      <c r="K35" s="153">
        <f>IF(G35=$D35,$E35,VLOOKUP(G35,'BD_BATI-EQUIPEMENTS'!$B$123:$L$128,10))</f>
        <v>154000</v>
      </c>
      <c r="L35" s="154">
        <f>VLOOKUP(G35,'BD_BATI-EQUIPEMENTS'!$B$123:$L$128,11)</f>
        <v>48000</v>
      </c>
      <c r="M35" s="34" t="str">
        <f>G35</f>
        <v>Collective - VMC</v>
      </c>
      <c r="N35" s="306" t="str">
        <f>VLOOKUP(M35,'BD_BATI-EQUIPEMENTS'!$B$123:$L$128,2)</f>
        <v>peut nécessiter un tubage des conduits existants</v>
      </c>
      <c r="O35" s="172" t="str">
        <f>VLOOKUP(M35,'BD_BATI-EQUIPEMENTS'!$B$123:$L$128,3)</f>
        <v>assurer une maintenance annuelle sur les extracteurs et bouches - nettoyage quinquennal des conduites</v>
      </c>
      <c r="P35" s="316">
        <f>IF(M35=$D35,0,VLOOKUP(M35,'BD_BATI-EQUIPEMENTS'!$B$123:$L$128,9))</f>
        <v>0</v>
      </c>
      <c r="Q35" s="153">
        <f>IF(M35=$D35,$E35,VLOOKUP(M35,'BD_BATI-EQUIPEMENTS'!$B$123:$L$128,10))</f>
        <v>154000</v>
      </c>
      <c r="R35" s="154">
        <f>VLOOKUP(M35,'BD_BATI-EQUIPEMENTS'!$B$123:$L$128,11)</f>
        <v>48000</v>
      </c>
      <c r="S35" s="32"/>
    </row>
    <row r="36" spans="1:19" x14ac:dyDescent="0.2">
      <c r="A36" s="36"/>
      <c r="B36" s="164"/>
      <c r="C36" s="400"/>
      <c r="D36" s="341"/>
      <c r="E36" s="144"/>
      <c r="F36" s="152"/>
      <c r="G36" s="122"/>
      <c r="H36" s="307"/>
      <c r="I36" s="173"/>
      <c r="J36" s="174"/>
      <c r="K36" s="123"/>
      <c r="L36" s="152"/>
      <c r="M36" s="122"/>
      <c r="N36" s="307"/>
      <c r="O36" s="173"/>
      <c r="P36" s="174"/>
      <c r="Q36" s="123"/>
      <c r="R36" s="152"/>
      <c r="S36" s="32"/>
    </row>
    <row r="37" spans="1:19" x14ac:dyDescent="0.2">
      <c r="A37" s="36"/>
      <c r="B37" s="164"/>
      <c r="C37" s="400"/>
      <c r="D37" s="341"/>
      <c r="E37" s="144"/>
      <c r="F37" s="152"/>
      <c r="G37" s="122"/>
      <c r="H37" s="307"/>
      <c r="I37" s="173"/>
      <c r="J37" s="174"/>
      <c r="K37" s="123"/>
      <c r="L37" s="152"/>
      <c r="M37" s="122"/>
      <c r="N37" s="307"/>
      <c r="O37" s="173"/>
      <c r="P37" s="174"/>
      <c r="Q37" s="123"/>
      <c r="R37" s="152"/>
      <c r="S37" s="32"/>
    </row>
    <row r="38" spans="1:19" x14ac:dyDescent="0.2">
      <c r="A38" s="36"/>
      <c r="B38" s="164"/>
      <c r="C38" s="400"/>
      <c r="D38" s="341"/>
      <c r="E38" s="144"/>
      <c r="F38" s="152"/>
      <c r="G38" s="122"/>
      <c r="H38" s="307"/>
      <c r="I38" s="173"/>
      <c r="J38" s="174"/>
      <c r="K38" s="123"/>
      <c r="L38" s="152"/>
      <c r="M38" s="122"/>
      <c r="N38" s="307"/>
      <c r="O38" s="173"/>
      <c r="P38" s="174"/>
      <c r="Q38" s="123"/>
      <c r="R38" s="152"/>
      <c r="S38" s="32"/>
    </row>
  </sheetData>
  <mergeCells count="6">
    <mergeCell ref="D5:F5"/>
    <mergeCell ref="G5:L5"/>
    <mergeCell ref="M5:R5"/>
    <mergeCell ref="D24:F24"/>
    <mergeCell ref="G24:L24"/>
    <mergeCell ref="M24:R24"/>
  </mergeCells>
  <dataValidations count="14">
    <dataValidation type="list" allowBlank="1" showInputMessage="1" showErrorMessage="1" sqref="M13">
      <formula1>$B$14:$B$18</formula1>
    </dataValidation>
    <dataValidation type="list" allowBlank="1" showInputMessage="1" showErrorMessage="1" sqref="D13 G13">
      <formula1>$B$16:$B$19</formula1>
    </dataValidation>
    <dataValidation type="list" allowBlank="1" showInputMessage="1" showErrorMessage="1" sqref="D8 G8 M8">
      <formula1>Lst_TechPbas</formula1>
    </dataValidation>
    <dataValidation type="list" allowBlank="1" showInputMessage="1" showErrorMessage="1" sqref="D9 G9 M9">
      <formula1>Lst_RevSol</formula1>
    </dataValidation>
    <dataValidation type="list" allowBlank="1" showInputMessage="1" showErrorMessage="1" sqref="D12 G12 M12">
      <formula1>Lst_MurExt</formula1>
    </dataValidation>
    <dataValidation type="list" allowBlank="1" showInputMessage="1" showErrorMessage="1" sqref="D15 M15 G15">
      <formula1>Lst_Menuiserie</formula1>
    </dataValidation>
    <dataValidation type="list" allowBlank="1" showInputMessage="1" showErrorMessage="1" sqref="D16 M16 G16">
      <formula1>Lst_Ouvrant</formula1>
    </dataValidation>
    <dataValidation type="list" allowBlank="1" showInputMessage="1" showErrorMessage="1" sqref="D19 G19 M19">
      <formula1>Lst_Occultation</formula1>
    </dataValidation>
    <dataValidation type="list" allowBlank="1" showInputMessage="1" showErrorMessage="1" sqref="D27 G27 M27">
      <formula1>Lst_Chauffage</formula1>
    </dataValidation>
    <dataValidation type="list" allowBlank="1" showInputMessage="1" showErrorMessage="1" sqref="D28 G28 M28">
      <formula1>Lst_Emission</formula1>
    </dataValidation>
    <dataValidation type="list" allowBlank="1" showInputMessage="1" showErrorMessage="1" sqref="D29 G29 M29">
      <formula1>Lst_TypeRegulation</formula1>
    </dataValidation>
    <dataValidation type="list" allowBlank="1" showInputMessage="1" showErrorMessage="1" sqref="D32 G32 M32">
      <formula1>Lst_ECS</formula1>
    </dataValidation>
    <dataValidation type="list" allowBlank="1" showInputMessage="1" showErrorMessage="1" sqref="D35 G35 M35">
      <formula1>Lst_TypeVT</formula1>
    </dataValidation>
    <dataValidation type="list" allowBlank="1" showInputMessage="1" showErrorMessage="1" sqref="D22 G22 M22">
      <formula1>Lst_Toiture</formula1>
    </dataValidation>
  </dataValidations>
  <pageMargins left="0.23622047244094491" right="0.23622047244094491" top="0.74803149606299213" bottom="0.74803149606299213" header="0.31496062992125984" footer="0.31496062992125984"/>
  <pageSetup paperSize="8" scale="65" fitToHeight="0" orientation="landscape" r:id="rId1"/>
  <headerFooter>
    <oddHeader>&amp;R&amp;D</oddHeader>
    <oddFooter>&amp;L&amp;F / &amp;A&amp;R&amp;P / &amp;N</oddFooter>
  </headerFooter>
  <colBreaks count="1" manualBreakCount="1">
    <brk id="12" max="3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129"/>
  <sheetViews>
    <sheetView showZeros="0" zoomScaleNormal="100" workbookViewId="0">
      <pane xSplit="2" ySplit="12" topLeftCell="C13" activePane="bottomRight" state="frozen"/>
      <selection activeCell="D36" sqref="D36:E36"/>
      <selection pane="topRight" activeCell="D36" sqref="D36:E36"/>
      <selection pane="bottomLeft" activeCell="D36" sqref="D36:E36"/>
      <selection pane="bottomRight"/>
    </sheetView>
  </sheetViews>
  <sheetFormatPr baseColWidth="10" defaultColWidth="11" defaultRowHeight="12.75" outlineLevelRow="1" outlineLevelCol="1" x14ac:dyDescent="0.2"/>
  <cols>
    <col min="1" max="1" width="2.75" style="30" customWidth="1"/>
    <col min="2" max="4" width="40.625" style="30" customWidth="1"/>
    <col min="5" max="8" width="15.625" style="30" hidden="1" customWidth="1" outlineLevel="1"/>
    <col min="9" max="9" width="15.625" style="304" hidden="1" customWidth="1" outlineLevel="1"/>
    <col min="10" max="10" width="15.625" style="65" customWidth="1" collapsed="1"/>
    <col min="11" max="13" width="15.625" style="65" customWidth="1"/>
    <col min="14" max="14" width="55.875" style="30" customWidth="1"/>
    <col min="15" max="16384" width="11" style="30"/>
  </cols>
  <sheetData>
    <row r="2" spans="1:13" s="731" customFormat="1" ht="16.5" thickBot="1" x14ac:dyDescent="0.25">
      <c r="A2" s="732"/>
      <c r="B2" s="733" t="s">
        <v>491</v>
      </c>
      <c r="C2" s="734"/>
      <c r="D2" s="735"/>
      <c r="E2" s="736"/>
      <c r="F2" s="737"/>
      <c r="G2" s="736"/>
      <c r="H2" s="738"/>
      <c r="I2" s="739"/>
      <c r="J2" s="740"/>
      <c r="K2" s="741"/>
      <c r="L2" s="742"/>
      <c r="M2" s="741"/>
    </row>
    <row r="3" spans="1:13" s="31" customFormat="1" ht="38.25" hidden="1" outlineLevel="1" x14ac:dyDescent="0.2">
      <c r="B3" s="142" t="s">
        <v>743</v>
      </c>
      <c r="C3" s="353" t="s">
        <v>43</v>
      </c>
      <c r="D3" s="354" t="s">
        <v>147</v>
      </c>
      <c r="E3" s="355" t="s">
        <v>335</v>
      </c>
      <c r="F3" s="356" t="s">
        <v>321</v>
      </c>
      <c r="G3" s="357" t="s">
        <v>336</v>
      </c>
      <c r="H3" s="358" t="s">
        <v>334</v>
      </c>
      <c r="I3" s="359" t="s">
        <v>322</v>
      </c>
      <c r="J3" s="360" t="s">
        <v>483</v>
      </c>
      <c r="K3" s="361" t="s">
        <v>494</v>
      </c>
      <c r="L3" s="362" t="s">
        <v>482</v>
      </c>
      <c r="M3" s="361" t="s">
        <v>495</v>
      </c>
    </row>
    <row r="4" spans="1:13" s="44" customFormat="1" ht="25.5" hidden="1" customHeight="1" outlineLevel="1" x14ac:dyDescent="0.2">
      <c r="B4" s="366" t="str">
        <f>B17</f>
        <v>Non isolé sur caves</v>
      </c>
      <c r="C4" s="615" t="str">
        <f t="shared" ref="C4:L4" si="0">C17</f>
        <v>inconfort lié aux planchers froids</v>
      </c>
      <c r="D4" s="616" t="str">
        <f t="shared" si="0"/>
        <v>isoler (vertical ou horizontal) les fondations par l'extérieur (ITE recommandée)</v>
      </c>
      <c r="E4" s="367">
        <f t="shared" si="0"/>
        <v>0</v>
      </c>
      <c r="F4" s="368">
        <f t="shared" si="0"/>
        <v>0</v>
      </c>
      <c r="G4" s="369">
        <f t="shared" si="0"/>
        <v>0</v>
      </c>
      <c r="H4" s="370">
        <f t="shared" si="0"/>
        <v>0</v>
      </c>
      <c r="I4" s="371">
        <f t="shared" si="0"/>
        <v>0</v>
      </c>
      <c r="J4" s="372">
        <f t="shared" si="0"/>
        <v>0</v>
      </c>
      <c r="K4" s="373">
        <f t="shared" si="0"/>
        <v>0</v>
      </c>
      <c r="L4" s="374">
        <f t="shared" si="0"/>
        <v>0</v>
      </c>
      <c r="M4" s="373">
        <f t="shared" ref="M4" si="1">M17</f>
        <v>0</v>
      </c>
    </row>
    <row r="5" spans="1:13" s="44" customFormat="1" ht="25.5" hidden="1" customHeight="1" outlineLevel="1" x14ac:dyDescent="0.2">
      <c r="B5" s="272" t="str">
        <f>B22</f>
        <v>Sol minéral (béton ciré et dérivés, mortier teinté, pierre, carrelage, …)</v>
      </c>
      <c r="C5" s="606" t="str">
        <f>C22</f>
        <v>grande durée de vie, sans entretien</v>
      </c>
      <c r="D5" s="605" t="str">
        <f t="shared" ref="D5:L5" si="2">D22</f>
        <v>à privilégier dans les espaces de jour, circulations, pièces humides - prévoir une sous-face acoustique</v>
      </c>
      <c r="E5" s="277">
        <f t="shared" si="2"/>
        <v>0</v>
      </c>
      <c r="F5" s="278">
        <f t="shared" si="2"/>
        <v>0</v>
      </c>
      <c r="G5" s="281">
        <f t="shared" si="2"/>
        <v>0</v>
      </c>
      <c r="H5" s="282">
        <f t="shared" si="2"/>
        <v>0</v>
      </c>
      <c r="I5" s="314">
        <f t="shared" si="2"/>
        <v>0</v>
      </c>
      <c r="J5" s="284">
        <f t="shared" si="2"/>
        <v>0</v>
      </c>
      <c r="K5" s="302">
        <f t="shared" si="2"/>
        <v>0</v>
      </c>
      <c r="L5" s="303">
        <f t="shared" si="2"/>
        <v>0</v>
      </c>
      <c r="M5" s="302">
        <f t="shared" ref="M5" si="3">M22</f>
        <v>0</v>
      </c>
    </row>
    <row r="6" spans="1:13" ht="25.5" hidden="1" customHeight="1" outlineLevel="1" x14ac:dyDescent="0.2">
      <c r="B6" s="272" t="str">
        <f>B30</f>
        <v>ITE avec PSE et enduit</v>
      </c>
      <c r="C6" s="606" t="str">
        <f t="shared" ref="C6:L6" si="4">C30</f>
        <v>très dangereux en cas d'incendie</v>
      </c>
      <c r="D6" s="605" t="str">
        <f t="shared" si="4"/>
        <v>cloisonnement étanche par rapport au volume intérieur - attention au risque incendie en cours de chantier</v>
      </c>
      <c r="E6" s="277">
        <f t="shared" si="4"/>
        <v>120</v>
      </c>
      <c r="F6" s="278">
        <f t="shared" si="4"/>
        <v>25</v>
      </c>
      <c r="G6" s="281">
        <f t="shared" si="4"/>
        <v>0</v>
      </c>
      <c r="H6" s="282">
        <f t="shared" si="4"/>
        <v>0</v>
      </c>
      <c r="I6" s="314">
        <f t="shared" si="4"/>
        <v>0</v>
      </c>
      <c r="J6" s="284">
        <f t="shared" si="4"/>
        <v>259200</v>
      </c>
      <c r="K6" s="302">
        <f t="shared" si="4"/>
        <v>155520</v>
      </c>
      <c r="L6" s="303">
        <f t="shared" si="4"/>
        <v>0</v>
      </c>
      <c r="M6" s="302">
        <f t="shared" ref="M6" si="5">M30</f>
        <v>414720</v>
      </c>
    </row>
    <row r="7" spans="1:13" ht="25.5" hidden="1" customHeight="1" outlineLevel="1" x14ac:dyDescent="0.2">
      <c r="B7" s="272" t="str">
        <f t="shared" ref="B7:L7" si="6">B43</f>
        <v>PVC DV performant</v>
      </c>
      <c r="C7" s="606" t="str">
        <f t="shared" si="6"/>
        <v>faible résistance, bonne performance, entretien régulier indispensable</v>
      </c>
      <c r="D7" s="605" t="str">
        <f t="shared" si="6"/>
        <v>prévoir un entretien quinquennal pour maintenir leur performance</v>
      </c>
      <c r="E7" s="277">
        <f t="shared" si="6"/>
        <v>380</v>
      </c>
      <c r="F7" s="278">
        <f t="shared" si="6"/>
        <v>25</v>
      </c>
      <c r="G7" s="281">
        <f t="shared" si="6"/>
        <v>0</v>
      </c>
      <c r="H7" s="282">
        <f t="shared" si="6"/>
        <v>0</v>
      </c>
      <c r="I7" s="314">
        <f t="shared" si="6"/>
        <v>0</v>
      </c>
      <c r="J7" s="284">
        <f t="shared" si="6"/>
        <v>355680</v>
      </c>
      <c r="K7" s="302">
        <f t="shared" si="6"/>
        <v>213408</v>
      </c>
      <c r="L7" s="303">
        <f t="shared" si="6"/>
        <v>0</v>
      </c>
      <c r="M7" s="302">
        <f t="shared" ref="M7" si="7">M43</f>
        <v>569088</v>
      </c>
    </row>
    <row r="8" spans="1:13" ht="12.75" hidden="1" customHeight="1" outlineLevel="1" x14ac:dyDescent="0.2">
      <c r="B8" s="272" t="str">
        <f>B48</f>
        <v>Non oscillo-battant</v>
      </c>
      <c r="C8" s="606" t="str">
        <f>C48</f>
        <v>-</v>
      </c>
      <c r="D8" s="605" t="str">
        <f t="shared" ref="D8:L8" si="8">D48</f>
        <v>-</v>
      </c>
      <c r="E8" s="277">
        <f t="shared" si="8"/>
        <v>0</v>
      </c>
      <c r="F8" s="278">
        <f t="shared" si="8"/>
        <v>0</v>
      </c>
      <c r="G8" s="281">
        <f t="shared" si="8"/>
        <v>0</v>
      </c>
      <c r="H8" s="282">
        <f t="shared" si="8"/>
        <v>0</v>
      </c>
      <c r="I8" s="314">
        <f t="shared" si="8"/>
        <v>0</v>
      </c>
      <c r="J8" s="284">
        <f t="shared" si="8"/>
        <v>0</v>
      </c>
      <c r="K8" s="302">
        <f t="shared" si="8"/>
        <v>0</v>
      </c>
      <c r="L8" s="303">
        <f t="shared" si="8"/>
        <v>0</v>
      </c>
      <c r="M8" s="302">
        <f t="shared" ref="M8" si="9">M48</f>
        <v>0</v>
      </c>
    </row>
    <row r="9" spans="1:13" ht="25.5" hidden="1" customHeight="1" outlineLevel="1" x14ac:dyDescent="0.2">
      <c r="B9" s="272" t="str">
        <f>B61</f>
        <v>Volets roulants PVC</v>
      </c>
      <c r="C9" s="606" t="str">
        <f t="shared" ref="C9:K9" si="10">C61</f>
        <v>ne permet pas d'assurer une protection solaire et un éclairage naturel simultané</v>
      </c>
      <c r="D9" s="605" t="str">
        <f t="shared" si="10"/>
        <v>nécessitent une maintenance régulière - envisager des volets à projection</v>
      </c>
      <c r="E9" s="277">
        <f t="shared" si="10"/>
        <v>80</v>
      </c>
      <c r="F9" s="278">
        <f t="shared" si="10"/>
        <v>20</v>
      </c>
      <c r="G9" s="281">
        <f t="shared" si="10"/>
        <v>5</v>
      </c>
      <c r="H9" s="282">
        <f t="shared" si="10"/>
        <v>10</v>
      </c>
      <c r="I9" s="314">
        <f t="shared" si="10"/>
        <v>2</v>
      </c>
      <c r="J9" s="284">
        <f t="shared" si="10"/>
        <v>74880</v>
      </c>
      <c r="K9" s="302">
        <f t="shared" si="10"/>
        <v>74880</v>
      </c>
      <c r="L9" s="303">
        <f>L61</f>
        <v>74880</v>
      </c>
      <c r="M9" s="302">
        <f t="shared" ref="M9" si="11">M61</f>
        <v>149760</v>
      </c>
    </row>
    <row r="10" spans="1:13" ht="25.5" hidden="1" customHeight="1" outlineLevel="1" x14ac:dyDescent="0.2">
      <c r="B10" s="272" t="str">
        <f>B76</f>
        <v>Toiture terrasse isolant PU protection gravillons</v>
      </c>
      <c r="C10" s="606" t="str">
        <f t="shared" ref="C10:M10" si="12">C76</f>
        <v>-</v>
      </c>
      <c r="D10" s="605" t="str">
        <f t="shared" si="12"/>
        <v>prévoir un entretien</v>
      </c>
      <c r="E10" s="277">
        <f t="shared" si="12"/>
        <v>90</v>
      </c>
      <c r="F10" s="278">
        <f t="shared" si="12"/>
        <v>30</v>
      </c>
      <c r="G10" s="281">
        <f t="shared" si="12"/>
        <v>1</v>
      </c>
      <c r="H10" s="282">
        <f t="shared" si="12"/>
        <v>1.8</v>
      </c>
      <c r="I10" s="314">
        <f t="shared" si="12"/>
        <v>1.8</v>
      </c>
      <c r="J10" s="284">
        <f t="shared" si="12"/>
        <v>45000</v>
      </c>
      <c r="K10" s="302">
        <f t="shared" si="12"/>
        <v>15000</v>
      </c>
      <c r="L10" s="303">
        <f t="shared" si="12"/>
        <v>36000</v>
      </c>
      <c r="M10" s="302">
        <f t="shared" si="12"/>
        <v>60000</v>
      </c>
    </row>
    <row r="11" spans="1:13" collapsed="1" x14ac:dyDescent="0.2"/>
    <row r="12" spans="1:13" s="743" customFormat="1" ht="32.25" thickBot="1" x14ac:dyDescent="0.25">
      <c r="A12" s="636"/>
      <c r="B12" s="637" t="s">
        <v>529</v>
      </c>
      <c r="C12" s="636"/>
      <c r="D12" s="735"/>
      <c r="E12" s="736"/>
      <c r="F12" s="737"/>
      <c r="G12" s="736"/>
      <c r="H12" s="738"/>
      <c r="I12" s="739"/>
      <c r="J12" s="740"/>
      <c r="K12" s="741"/>
      <c r="L12" s="742"/>
      <c r="M12" s="741"/>
    </row>
    <row r="13" spans="1:13" s="31" customFormat="1" ht="38.25" x14ac:dyDescent="0.2">
      <c r="B13" s="142" t="s">
        <v>153</v>
      </c>
      <c r="C13" s="353" t="s">
        <v>43</v>
      </c>
      <c r="D13" s="354" t="s">
        <v>147</v>
      </c>
      <c r="E13" s="355" t="s">
        <v>335</v>
      </c>
      <c r="F13" s="356" t="s">
        <v>321</v>
      </c>
      <c r="G13" s="357" t="s">
        <v>336</v>
      </c>
      <c r="H13" s="358" t="s">
        <v>334</v>
      </c>
      <c r="I13" s="359" t="s">
        <v>322</v>
      </c>
      <c r="J13" s="360" t="s">
        <v>483</v>
      </c>
      <c r="K13" s="361" t="s">
        <v>494</v>
      </c>
      <c r="L13" s="362" t="s">
        <v>482</v>
      </c>
      <c r="M13" s="361" t="s">
        <v>495</v>
      </c>
    </row>
    <row r="14" spans="1:13" x14ac:dyDescent="0.2">
      <c r="B14" s="130" t="s">
        <v>154</v>
      </c>
      <c r="C14" s="131"/>
      <c r="D14" s="132"/>
      <c r="E14" s="182"/>
      <c r="F14" s="183"/>
      <c r="G14" s="182"/>
      <c r="H14" s="199"/>
      <c r="I14" s="309"/>
      <c r="J14" s="182"/>
      <c r="K14" s="199"/>
      <c r="L14" s="208"/>
      <c r="M14" s="199"/>
    </row>
    <row r="15" spans="1:13" ht="25.5" x14ac:dyDescent="0.2">
      <c r="B15" s="115" t="s">
        <v>156</v>
      </c>
      <c r="C15" s="606" t="s">
        <v>109</v>
      </c>
      <c r="D15" s="605" t="s">
        <v>110</v>
      </c>
      <c r="E15" s="184">
        <v>0</v>
      </c>
      <c r="F15" s="185">
        <v>0</v>
      </c>
      <c r="G15" s="204">
        <v>0</v>
      </c>
      <c r="H15" s="200">
        <v>0</v>
      </c>
      <c r="I15" s="314">
        <f>IF(G15=0,0,H15/G15)</f>
        <v>0</v>
      </c>
      <c r="J15" s="218">
        <f>IF(E15=0,0,E15*Surf_Pbas)</f>
        <v>0</v>
      </c>
      <c r="K15" s="219">
        <f>IF(E15=0,0,IF((J15/F15)*amortissement-J15&lt;0,0,(J15/F15)*amortissement-J15))</f>
        <v>0</v>
      </c>
      <c r="L15" s="220">
        <f>IF(I15=0,0,I15*Surf_Pbas*amortissement)</f>
        <v>0</v>
      </c>
      <c r="M15" s="219">
        <f>IF(F15=0,0,J15/F15*amortissement)</f>
        <v>0</v>
      </c>
    </row>
    <row r="16" spans="1:13" ht="25.5" x14ac:dyDescent="0.2">
      <c r="B16" s="115" t="s">
        <v>455</v>
      </c>
      <c r="C16" s="606" t="s">
        <v>111</v>
      </c>
      <c r="D16" s="605" t="s">
        <v>112</v>
      </c>
      <c r="E16" s="277">
        <v>70</v>
      </c>
      <c r="F16" s="278">
        <v>50</v>
      </c>
      <c r="G16" s="281">
        <v>0</v>
      </c>
      <c r="H16" s="282">
        <v>0</v>
      </c>
      <c r="I16" s="314">
        <f t="shared" ref="I16:I19" si="13">IF(G16=0,0,H16/G16)</f>
        <v>0</v>
      </c>
      <c r="J16" s="218">
        <f>IF(E16=0,0,E16*Surf_Pbas)</f>
        <v>35000</v>
      </c>
      <c r="K16" s="219">
        <f>IF(E16=0,0,IF((J16/F16)*amortissement-J16&lt;0,0,(J16/F16)*amortissement-J16))</f>
        <v>0</v>
      </c>
      <c r="L16" s="220">
        <f>IF(I16=0,0,I16*Surf_Pbas*amortissement)</f>
        <v>0</v>
      </c>
      <c r="M16" s="219">
        <f>IF(F16=0,0,J16/F16*amortissement)</f>
        <v>28000</v>
      </c>
    </row>
    <row r="17" spans="1:13" ht="25.5" x14ac:dyDescent="0.2">
      <c r="B17" s="115" t="s">
        <v>157</v>
      </c>
      <c r="C17" s="606" t="s">
        <v>114</v>
      </c>
      <c r="D17" s="605" t="s">
        <v>113</v>
      </c>
      <c r="E17" s="184">
        <v>0</v>
      </c>
      <c r="F17" s="185">
        <v>0</v>
      </c>
      <c r="G17" s="204">
        <v>0</v>
      </c>
      <c r="H17" s="200">
        <v>0</v>
      </c>
      <c r="I17" s="314">
        <f t="shared" si="13"/>
        <v>0</v>
      </c>
      <c r="J17" s="218">
        <f>IF(E17=0,0,E17*Surf_Pbas)</f>
        <v>0</v>
      </c>
      <c r="K17" s="219">
        <f>IF(E17=0,0,IF((J17/F17)*amortissement-J17&lt;0,0,(J17/F17)*amortissement-J17))</f>
        <v>0</v>
      </c>
      <c r="L17" s="220">
        <f>IF(I17=0,0,I17*Surf_Pbas*amortissement)</f>
        <v>0</v>
      </c>
      <c r="M17" s="219">
        <f>IF(F17=0,0,J17/F17*amortissement)</f>
        <v>0</v>
      </c>
    </row>
    <row r="18" spans="1:13" ht="25.5" x14ac:dyDescent="0.2">
      <c r="B18" s="115" t="s">
        <v>158</v>
      </c>
      <c r="C18" s="606" t="s">
        <v>114</v>
      </c>
      <c r="D18" s="605" t="s">
        <v>113</v>
      </c>
      <c r="E18" s="184">
        <v>0</v>
      </c>
      <c r="F18" s="185">
        <v>0</v>
      </c>
      <c r="G18" s="204">
        <v>0</v>
      </c>
      <c r="H18" s="200">
        <v>0</v>
      </c>
      <c r="I18" s="314">
        <f t="shared" si="13"/>
        <v>0</v>
      </c>
      <c r="J18" s="218">
        <f>IF(E18=0,0,E18*Surf_Pbas)</f>
        <v>0</v>
      </c>
      <c r="K18" s="219">
        <f>IF(E18=0,0,IF((J18/F18)*amortissement-J18&lt;0,0,(J18/F18)*amortissement-J18))</f>
        <v>0</v>
      </c>
      <c r="L18" s="220">
        <f>IF(I18=0,0,I18*Surf_Pbas*amortissement)</f>
        <v>0</v>
      </c>
      <c r="M18" s="219">
        <f>IF(F18=0,0,J18/F18*amortissement)</f>
        <v>0</v>
      </c>
    </row>
    <row r="19" spans="1:13" ht="25.5" x14ac:dyDescent="0.2">
      <c r="B19" s="115" t="s">
        <v>159</v>
      </c>
      <c r="C19" s="606" t="s">
        <v>114</v>
      </c>
      <c r="D19" s="605" t="s">
        <v>113</v>
      </c>
      <c r="E19" s="184">
        <v>0</v>
      </c>
      <c r="F19" s="185">
        <v>0</v>
      </c>
      <c r="G19" s="204">
        <v>0</v>
      </c>
      <c r="H19" s="200">
        <v>0</v>
      </c>
      <c r="I19" s="314">
        <f t="shared" si="13"/>
        <v>0</v>
      </c>
      <c r="J19" s="218">
        <f>IF(E19=0,0,E19*Surf_Pbas)</f>
        <v>0</v>
      </c>
      <c r="K19" s="219">
        <f>IF(E19=0,0,IF((J19/F19)*amortissement-J19&lt;0,0,(J19/F19)*amortissement-J19))</f>
        <v>0</v>
      </c>
      <c r="L19" s="220">
        <f>IF(I19=0,0,I19*Surf_Pbas*amortissement)</f>
        <v>0</v>
      </c>
      <c r="M19" s="219">
        <f>IF(F19=0,0,J19/F19*amortissement)</f>
        <v>0</v>
      </c>
    </row>
    <row r="20" spans="1:13" x14ac:dyDescent="0.2">
      <c r="B20" s="133" t="s">
        <v>155</v>
      </c>
      <c r="C20" s="279"/>
      <c r="D20" s="280"/>
      <c r="E20" s="186"/>
      <c r="F20" s="187"/>
      <c r="G20" s="192"/>
      <c r="H20" s="201"/>
      <c r="I20" s="315"/>
      <c r="J20" s="212"/>
      <c r="K20" s="213"/>
      <c r="L20" s="214"/>
      <c r="M20" s="213"/>
    </row>
    <row r="21" spans="1:13" ht="51" x14ac:dyDescent="0.2">
      <c r="B21" s="115" t="s">
        <v>160</v>
      </c>
      <c r="C21" s="606" t="s">
        <v>115</v>
      </c>
      <c r="D21" s="605" t="s">
        <v>668</v>
      </c>
      <c r="E21" s="184">
        <v>0</v>
      </c>
      <c r="F21" s="185">
        <v>0</v>
      </c>
      <c r="G21" s="204">
        <v>0</v>
      </c>
      <c r="H21" s="200">
        <v>0</v>
      </c>
      <c r="I21" s="314">
        <f t="shared" ref="I21:I24" si="14">IF(G21=0,0,H21/G21)</f>
        <v>0</v>
      </c>
      <c r="J21" s="218">
        <f>IF(E21=0,0,E21*Surf_Pbas)</f>
        <v>0</v>
      </c>
      <c r="K21" s="219">
        <f>IF(E21=0,0,IF((J21/F21)*amortissement-J21&lt;0,0,(J21/F21)*amortissement-J21))</f>
        <v>0</v>
      </c>
      <c r="L21" s="220">
        <f>IF(I21=0,0,I21*Surf_Pbas*amortissement)</f>
        <v>0</v>
      </c>
      <c r="M21" s="219">
        <f>IF(F21=0,0,J21/F21*amortissement)</f>
        <v>0</v>
      </c>
    </row>
    <row r="22" spans="1:13" ht="25.5" x14ac:dyDescent="0.2">
      <c r="B22" s="115" t="s">
        <v>162</v>
      </c>
      <c r="C22" s="606" t="s">
        <v>117</v>
      </c>
      <c r="D22" s="605" t="s">
        <v>667</v>
      </c>
      <c r="E22" s="184">
        <v>0</v>
      </c>
      <c r="F22" s="185">
        <v>0</v>
      </c>
      <c r="G22" s="204">
        <v>0</v>
      </c>
      <c r="H22" s="200">
        <v>0</v>
      </c>
      <c r="I22" s="314">
        <f t="shared" si="14"/>
        <v>0</v>
      </c>
      <c r="J22" s="218">
        <f>IF(E22=0,0,E22*Surf_Pbas)</f>
        <v>0</v>
      </c>
      <c r="K22" s="219">
        <f>IF(E22=0,0,IF((J22/F22)*amortissement-J22&lt;0,0,(J22/F22)*amortissement-J22))</f>
        <v>0</v>
      </c>
      <c r="L22" s="220">
        <f>IF(I22=0,0,I22*Surf_Pbas*amortissement)</f>
        <v>0</v>
      </c>
      <c r="M22" s="219">
        <f>IF(F22=0,0,J22/F22*amortissement)</f>
        <v>0</v>
      </c>
    </row>
    <row r="23" spans="1:13" ht="38.25" x14ac:dyDescent="0.2">
      <c r="B23" s="115" t="s">
        <v>161</v>
      </c>
      <c r="C23" s="606" t="s">
        <v>116</v>
      </c>
      <c r="D23" s="605" t="s">
        <v>669</v>
      </c>
      <c r="E23" s="184">
        <v>0</v>
      </c>
      <c r="F23" s="185">
        <v>0</v>
      </c>
      <c r="G23" s="204">
        <v>0</v>
      </c>
      <c r="H23" s="200">
        <v>0</v>
      </c>
      <c r="I23" s="314">
        <f t="shared" si="14"/>
        <v>0</v>
      </c>
      <c r="J23" s="218">
        <f>IF(E23=0,0,E23*Surf_Pbas)</f>
        <v>0</v>
      </c>
      <c r="K23" s="219">
        <f>IF(E23=0,0,IF((J23/F23)*amortissement-J23&lt;0,0,(J23/F23)*amortissement-J23))</f>
        <v>0</v>
      </c>
      <c r="L23" s="220">
        <f>IF(I23=0,0,I23*Surf_Pbas*amortissement)</f>
        <v>0</v>
      </c>
      <c r="M23" s="219">
        <f>IF(F23=0,0,J23/F23*amortissement)</f>
        <v>0</v>
      </c>
    </row>
    <row r="24" spans="1:13" ht="38.25" x14ac:dyDescent="0.2">
      <c r="B24" s="115" t="s">
        <v>163</v>
      </c>
      <c r="C24" s="606" t="s">
        <v>118</v>
      </c>
      <c r="D24" s="605" t="s">
        <v>670</v>
      </c>
      <c r="E24" s="184">
        <v>0</v>
      </c>
      <c r="F24" s="185">
        <v>0</v>
      </c>
      <c r="G24" s="204">
        <v>0</v>
      </c>
      <c r="H24" s="200">
        <v>0</v>
      </c>
      <c r="I24" s="314">
        <f t="shared" si="14"/>
        <v>0</v>
      </c>
      <c r="J24" s="218">
        <f>IF(E24=0,0,E24*Surf_Pbas)</f>
        <v>0</v>
      </c>
      <c r="K24" s="219">
        <f>IF(E24=0,0,IF((J24/F24)*amortissement-J24&lt;0,0,(J24/F24)*amortissement-J24))</f>
        <v>0</v>
      </c>
      <c r="L24" s="220">
        <f>IF(I24=0,0,I24*Surf_Pbas*amortissement)</f>
        <v>0</v>
      </c>
      <c r="M24" s="219">
        <f>IF(F24=0,0,J24/F24*amortissement)</f>
        <v>0</v>
      </c>
    </row>
    <row r="25" spans="1:13" x14ac:dyDescent="0.2">
      <c r="A25" s="35"/>
      <c r="B25" s="117"/>
      <c r="C25" s="270"/>
      <c r="D25" s="271"/>
      <c r="E25" s="188"/>
      <c r="F25" s="189"/>
      <c r="G25" s="188"/>
      <c r="H25" s="202"/>
      <c r="I25" s="299"/>
      <c r="J25" s="218"/>
      <c r="K25" s="219"/>
      <c r="L25" s="220"/>
      <c r="M25" s="219"/>
    </row>
    <row r="26" spans="1:13" s="31" customFormat="1" ht="38.25" x14ac:dyDescent="0.2">
      <c r="A26" s="363"/>
      <c r="B26" s="143" t="s">
        <v>143</v>
      </c>
      <c r="C26" s="364" t="str">
        <f t="shared" ref="C26" si="15">C$13</f>
        <v>Commentaires</v>
      </c>
      <c r="D26" s="365" t="s">
        <v>147</v>
      </c>
      <c r="E26" s="355" t="s">
        <v>335</v>
      </c>
      <c r="F26" s="356" t="s">
        <v>321</v>
      </c>
      <c r="G26" s="357" t="s">
        <v>336</v>
      </c>
      <c r="H26" s="358" t="s">
        <v>334</v>
      </c>
      <c r="I26" s="359" t="s">
        <v>322</v>
      </c>
      <c r="J26" s="360" t="s">
        <v>483</v>
      </c>
      <c r="K26" s="361" t="s">
        <v>494</v>
      </c>
      <c r="L26" s="362" t="s">
        <v>482</v>
      </c>
      <c r="M26" s="361" t="s">
        <v>495</v>
      </c>
    </row>
    <row r="27" spans="1:13" x14ac:dyDescent="0.2">
      <c r="B27" s="136" t="s">
        <v>450</v>
      </c>
      <c r="C27" s="289"/>
      <c r="D27" s="290"/>
      <c r="E27" s="190"/>
      <c r="F27" s="191"/>
      <c r="G27" s="190"/>
      <c r="H27" s="203"/>
      <c r="I27" s="309"/>
      <c r="J27" s="182"/>
      <c r="K27" s="199"/>
      <c r="L27" s="208"/>
      <c r="M27" s="199"/>
    </row>
    <row r="28" spans="1:13" ht="25.5" x14ac:dyDescent="0.2">
      <c r="B28" s="115" t="s">
        <v>454</v>
      </c>
      <c r="C28" s="606" t="s">
        <v>107</v>
      </c>
      <c r="D28" s="605" t="s">
        <v>108</v>
      </c>
      <c r="E28" s="277">
        <v>170</v>
      </c>
      <c r="F28" s="278">
        <v>35</v>
      </c>
      <c r="G28" s="404">
        <v>0</v>
      </c>
      <c r="H28" s="414">
        <v>0</v>
      </c>
      <c r="I28" s="314">
        <f>IF(G28=0,0,H28/G28)</f>
        <v>0</v>
      </c>
      <c r="J28" s="218">
        <f>IF(E28=0,0,E28*(Surf_Mur+Surf_Men))</f>
        <v>367200</v>
      </c>
      <c r="K28" s="219">
        <f>IF(E28=0,0,IF((J28/F28)*amortissement-J28&lt;0,0,(J28/F28)*amortissement-J28))</f>
        <v>52457.142857142841</v>
      </c>
      <c r="L28" s="220">
        <f>IF(I28=0,0,I28*(Surf_Mur+Surf_Men)*amortissement)</f>
        <v>0</v>
      </c>
      <c r="M28" s="219">
        <f>IF(F28=0,0,J28/F28*amortissement)</f>
        <v>419657.14285714284</v>
      </c>
    </row>
    <row r="29" spans="1:13" x14ac:dyDescent="0.2">
      <c r="B29" s="115" t="s">
        <v>453</v>
      </c>
      <c r="C29" s="606" t="s">
        <v>674</v>
      </c>
      <c r="D29" s="605" t="s">
        <v>671</v>
      </c>
      <c r="E29" s="277">
        <v>160</v>
      </c>
      <c r="F29" s="278">
        <v>35</v>
      </c>
      <c r="G29" s="404">
        <v>0</v>
      </c>
      <c r="H29" s="414">
        <v>0</v>
      </c>
      <c r="I29" s="314">
        <f>IF(G29=0,0,H29/G29)</f>
        <v>0</v>
      </c>
      <c r="J29" s="218">
        <f>IF(E29=0,0,E29*(Surf_Mur+Surf_Men))</f>
        <v>345600</v>
      </c>
      <c r="K29" s="219">
        <f>IF(E29=0,0,IF((J29/F29)*amortissement-J29&lt;0,0,(J29/F29)*amortissement-J29))</f>
        <v>49371.428571428522</v>
      </c>
      <c r="L29" s="220">
        <f>IF(I29=0,0,I29*(Surf_Mur+Surf_Men)*amortissement)</f>
        <v>0</v>
      </c>
      <c r="M29" s="219">
        <f>IF(F29=0,0,J29/F29*amortissement)</f>
        <v>394971.42857142852</v>
      </c>
    </row>
    <row r="30" spans="1:13" ht="38.25" x14ac:dyDescent="0.2">
      <c r="B30" s="115" t="s">
        <v>452</v>
      </c>
      <c r="C30" s="606" t="s">
        <v>675</v>
      </c>
      <c r="D30" s="605" t="s">
        <v>672</v>
      </c>
      <c r="E30" s="277">
        <v>120</v>
      </c>
      <c r="F30" s="278">
        <v>25</v>
      </c>
      <c r="G30" s="404">
        <v>0</v>
      </c>
      <c r="H30" s="414">
        <v>0</v>
      </c>
      <c r="I30" s="314">
        <f t="shared" ref="I30:I31" si="16">IF(G30=0,0,H30/G30)</f>
        <v>0</v>
      </c>
      <c r="J30" s="218">
        <f>IF(E30=0,0,E30*(Surf_Mur+Surf_Men))</f>
        <v>259200</v>
      </c>
      <c r="K30" s="219">
        <f>IF(E30=0,0,IF((J30/F30)*amortissement-J30&lt;0,0,(J30/F30)*amortissement-J30))</f>
        <v>155520</v>
      </c>
      <c r="L30" s="220">
        <f>IF(I30=0,0,I30*(Surf_Mur+Surf_Men)*amortissement)</f>
        <v>0</v>
      </c>
      <c r="M30" s="219">
        <f>IF(F30=0,0,J30/F30*amortissement)</f>
        <v>414720</v>
      </c>
    </row>
    <row r="31" spans="1:13" ht="25.5" x14ac:dyDescent="0.2">
      <c r="B31" s="115" t="s">
        <v>451</v>
      </c>
      <c r="C31" s="606" t="s">
        <v>105</v>
      </c>
      <c r="D31" s="605" t="s">
        <v>106</v>
      </c>
      <c r="E31" s="410">
        <v>0</v>
      </c>
      <c r="F31" s="403">
        <v>0</v>
      </c>
      <c r="G31" s="404">
        <v>25</v>
      </c>
      <c r="H31" s="414">
        <v>60</v>
      </c>
      <c r="I31" s="433">
        <f t="shared" si="16"/>
        <v>2.4</v>
      </c>
      <c r="J31" s="218">
        <f>IF(E31=0,0,E31*(Surf_Mur+Surf_Men))</f>
        <v>0</v>
      </c>
      <c r="K31" s="219">
        <f>IF(E31=0,0,IF((J31/F31)*amortissement-J31&lt;0,0,(J31/F31)*amortissement-J31))</f>
        <v>0</v>
      </c>
      <c r="L31" s="220">
        <f>IF(I31=0,0,I31*(Surf_Mur+Surf_Men)*amortissement)</f>
        <v>207360</v>
      </c>
      <c r="M31" s="219">
        <f>IF(F31=0,0,J31/F31*amortissement)</f>
        <v>0</v>
      </c>
    </row>
    <row r="32" spans="1:13" x14ac:dyDescent="0.2">
      <c r="B32" s="115"/>
      <c r="C32" s="97"/>
      <c r="D32" s="127"/>
      <c r="E32" s="277"/>
      <c r="F32" s="278"/>
      <c r="G32" s="204"/>
      <c r="H32" s="200"/>
      <c r="I32" s="314"/>
      <c r="J32" s="218"/>
      <c r="K32" s="219"/>
      <c r="L32" s="220"/>
      <c r="M32" s="219"/>
    </row>
    <row r="33" spans="1:13" x14ac:dyDescent="0.2">
      <c r="A33" s="35"/>
      <c r="B33" s="117"/>
      <c r="C33" s="35"/>
      <c r="D33" s="126"/>
      <c r="E33" s="188"/>
      <c r="F33" s="189"/>
      <c r="G33" s="188"/>
      <c r="H33" s="202"/>
      <c r="I33" s="299"/>
      <c r="J33" s="215"/>
      <c r="K33" s="216"/>
      <c r="L33" s="217"/>
      <c r="M33" s="216"/>
    </row>
    <row r="34" spans="1:13" s="31" customFormat="1" ht="38.25" x14ac:dyDescent="0.2">
      <c r="A34" s="363"/>
      <c r="B34" s="143" t="s">
        <v>144</v>
      </c>
      <c r="C34" s="364" t="str">
        <f>C$13</f>
        <v>Commentaires</v>
      </c>
      <c r="D34" s="365" t="s">
        <v>147</v>
      </c>
      <c r="E34" s="355" t="s">
        <v>335</v>
      </c>
      <c r="F34" s="356" t="s">
        <v>321</v>
      </c>
      <c r="G34" s="357" t="s">
        <v>336</v>
      </c>
      <c r="H34" s="358" t="s">
        <v>334</v>
      </c>
      <c r="I34" s="359" t="s">
        <v>322</v>
      </c>
      <c r="J34" s="360" t="s">
        <v>483</v>
      </c>
      <c r="K34" s="361" t="s">
        <v>494</v>
      </c>
      <c r="L34" s="362" t="s">
        <v>482</v>
      </c>
      <c r="M34" s="361" t="s">
        <v>495</v>
      </c>
    </row>
    <row r="35" spans="1:13" x14ac:dyDescent="0.2">
      <c r="B35" s="136" t="s">
        <v>478</v>
      </c>
      <c r="C35" s="137"/>
      <c r="D35" s="138"/>
      <c r="E35" s="190"/>
      <c r="F35" s="191"/>
      <c r="G35" s="190"/>
      <c r="H35" s="203"/>
      <c r="I35" s="309"/>
      <c r="J35" s="182"/>
      <c r="K35" s="199"/>
      <c r="L35" s="208"/>
      <c r="M35" s="199"/>
    </row>
    <row r="36" spans="1:13" x14ac:dyDescent="0.2">
      <c r="B36" s="115" t="s">
        <v>430</v>
      </c>
      <c r="C36" s="606" t="s">
        <v>125</v>
      </c>
      <c r="D36" s="605" t="s">
        <v>238</v>
      </c>
      <c r="E36" s="277">
        <v>500</v>
      </c>
      <c r="F36" s="278">
        <v>35</v>
      </c>
      <c r="G36" s="204">
        <v>0</v>
      </c>
      <c r="H36" s="200">
        <v>0</v>
      </c>
      <c r="I36" s="314">
        <f>IF(G36=0,0,H36/G36)</f>
        <v>0</v>
      </c>
      <c r="J36" s="218">
        <f t="shared" ref="J36:J43" si="17">IF(E36=0,0,E36*Surf_Men)</f>
        <v>468000</v>
      </c>
      <c r="K36" s="219">
        <f>IF(E36=0,0,IF((J36/F36)*amortissement-J36&lt;0,0,(J36/F36)*amortissement-J36))</f>
        <v>66857.142857142841</v>
      </c>
      <c r="L36" s="220">
        <f t="shared" ref="L36:L43" si="18">IF(I36=0,0,I36*Surf_Men*amortissement)</f>
        <v>0</v>
      </c>
      <c r="M36" s="219">
        <f t="shared" ref="M36:M43" si="19">IF(F36=0,0,J36/F36*amortissement)</f>
        <v>534857.14285714284</v>
      </c>
    </row>
    <row r="37" spans="1:13" x14ac:dyDescent="0.2">
      <c r="B37" s="115" t="s">
        <v>429</v>
      </c>
      <c r="C37" s="606" t="s">
        <v>125</v>
      </c>
      <c r="D37" s="605" t="s">
        <v>123</v>
      </c>
      <c r="E37" s="277">
        <v>500</v>
      </c>
      <c r="F37" s="278">
        <v>35</v>
      </c>
      <c r="G37" s="204">
        <v>0</v>
      </c>
      <c r="H37" s="200">
        <v>0</v>
      </c>
      <c r="I37" s="314">
        <f t="shared" ref="I37:I43" si="20">IF(G37=0,0,H37/G37)</f>
        <v>0</v>
      </c>
      <c r="J37" s="218">
        <f t="shared" si="17"/>
        <v>468000</v>
      </c>
      <c r="K37" s="219">
        <f>IF(E37=0,0,IF((J37/F37)*amortissement-J37&lt;0,0,(J37/F37)*amortissement-J37))</f>
        <v>66857.142857142841</v>
      </c>
      <c r="L37" s="220">
        <f t="shared" si="18"/>
        <v>0</v>
      </c>
      <c r="M37" s="219">
        <f t="shared" si="19"/>
        <v>534857.14285714284</v>
      </c>
    </row>
    <row r="38" spans="1:13" x14ac:dyDescent="0.2">
      <c r="B38" s="115" t="s">
        <v>432</v>
      </c>
      <c r="C38" s="606" t="s">
        <v>676</v>
      </c>
      <c r="D38" s="605" t="s">
        <v>127</v>
      </c>
      <c r="E38" s="277">
        <v>500</v>
      </c>
      <c r="F38" s="278">
        <v>35</v>
      </c>
      <c r="G38" s="281">
        <v>10</v>
      </c>
      <c r="H38" s="282">
        <v>28</v>
      </c>
      <c r="I38" s="314">
        <f>IF(G38=0,0,H38/G38)</f>
        <v>2.8</v>
      </c>
      <c r="J38" s="218">
        <f t="shared" si="17"/>
        <v>468000</v>
      </c>
      <c r="K38" s="219">
        <f t="shared" ref="K38:K39" si="21">IF(E38=0,0,IF((J38/F38)*amortissement-J38&lt;0,0,(J38/F38)*amortissement-J38))</f>
        <v>66857.142857142841</v>
      </c>
      <c r="L38" s="220">
        <f t="shared" si="18"/>
        <v>104831.99999999999</v>
      </c>
      <c r="M38" s="219">
        <f t="shared" si="19"/>
        <v>534857.14285714284</v>
      </c>
    </row>
    <row r="39" spans="1:13" ht="25.5" x14ac:dyDescent="0.2">
      <c r="B39" s="115" t="s">
        <v>431</v>
      </c>
      <c r="C39" s="606" t="s">
        <v>126</v>
      </c>
      <c r="D39" s="605" t="s">
        <v>127</v>
      </c>
      <c r="E39" s="277">
        <v>500</v>
      </c>
      <c r="F39" s="278">
        <v>35</v>
      </c>
      <c r="G39" s="281">
        <v>10</v>
      </c>
      <c r="H39" s="282">
        <v>28</v>
      </c>
      <c r="I39" s="314">
        <f t="shared" si="20"/>
        <v>2.8</v>
      </c>
      <c r="J39" s="218">
        <f t="shared" si="17"/>
        <v>468000</v>
      </c>
      <c r="K39" s="219">
        <f t="shared" si="21"/>
        <v>66857.142857142841</v>
      </c>
      <c r="L39" s="220">
        <f t="shared" si="18"/>
        <v>104831.99999999999</v>
      </c>
      <c r="M39" s="219">
        <f t="shared" si="19"/>
        <v>534857.14285714284</v>
      </c>
    </row>
    <row r="40" spans="1:13" x14ac:dyDescent="0.2">
      <c r="B40" s="115" t="s">
        <v>673</v>
      </c>
      <c r="C40" s="606" t="s">
        <v>238</v>
      </c>
      <c r="D40" s="605" t="s">
        <v>238</v>
      </c>
      <c r="E40" s="277">
        <v>400</v>
      </c>
      <c r="F40" s="278">
        <v>40</v>
      </c>
      <c r="G40" s="281">
        <v>10</v>
      </c>
      <c r="H40" s="282">
        <v>28</v>
      </c>
      <c r="I40" s="314">
        <f t="shared" si="20"/>
        <v>2.8</v>
      </c>
      <c r="J40" s="218">
        <f t="shared" si="17"/>
        <v>374400</v>
      </c>
      <c r="K40" s="219">
        <f>IF(E40=0,0,IF((J40/F40)*amortissement-J40&lt;0,0,(J40/F40)*amortissement-J40))</f>
        <v>0</v>
      </c>
      <c r="L40" s="220">
        <f t="shared" si="18"/>
        <v>104831.99999999999</v>
      </c>
      <c r="M40" s="219">
        <f t="shared" si="19"/>
        <v>374400</v>
      </c>
    </row>
    <row r="41" spans="1:13" ht="25.5" x14ac:dyDescent="0.2">
      <c r="B41" s="115" t="s">
        <v>427</v>
      </c>
      <c r="C41" s="606" t="s">
        <v>128</v>
      </c>
      <c r="D41" s="605" t="s">
        <v>238</v>
      </c>
      <c r="E41" s="277">
        <v>550</v>
      </c>
      <c r="F41" s="278">
        <v>35</v>
      </c>
      <c r="G41" s="404">
        <v>0</v>
      </c>
      <c r="H41" s="414">
        <v>0</v>
      </c>
      <c r="I41" s="314">
        <f t="shared" si="20"/>
        <v>0</v>
      </c>
      <c r="J41" s="218">
        <f t="shared" si="17"/>
        <v>514800</v>
      </c>
      <c r="K41" s="219">
        <f>IF(E41=0,0,IF((J41/F41)*amortissement-J41&lt;0,0,(J41/F41)*amortissement-J41))</f>
        <v>73542.857142857159</v>
      </c>
      <c r="L41" s="220">
        <f t="shared" si="18"/>
        <v>0</v>
      </c>
      <c r="M41" s="219">
        <f t="shared" si="19"/>
        <v>588342.85714285716</v>
      </c>
    </row>
    <row r="42" spans="1:13" ht="25.5" x14ac:dyDescent="0.2">
      <c r="B42" s="115" t="s">
        <v>433</v>
      </c>
      <c r="C42" s="606" t="s">
        <v>129</v>
      </c>
      <c r="D42" s="605" t="s">
        <v>130</v>
      </c>
      <c r="E42" s="277">
        <v>380</v>
      </c>
      <c r="F42" s="278">
        <v>25</v>
      </c>
      <c r="G42" s="404">
        <v>0</v>
      </c>
      <c r="H42" s="414">
        <v>0</v>
      </c>
      <c r="I42" s="314">
        <f>IF(G42=0,0,H42/G42)</f>
        <v>0</v>
      </c>
      <c r="J42" s="218">
        <f t="shared" si="17"/>
        <v>355680</v>
      </c>
      <c r="K42" s="219">
        <f>IF(E42=0,0,IF((J42/F42)*amortissement-J42&lt;0,0,(J42/F42)*amortissement-J42))</f>
        <v>213408</v>
      </c>
      <c r="L42" s="220">
        <f t="shared" si="18"/>
        <v>0</v>
      </c>
      <c r="M42" s="219">
        <f t="shared" si="19"/>
        <v>569088</v>
      </c>
    </row>
    <row r="43" spans="1:13" ht="25.5" x14ac:dyDescent="0.2">
      <c r="B43" s="115" t="s">
        <v>428</v>
      </c>
      <c r="C43" s="606" t="s">
        <v>129</v>
      </c>
      <c r="D43" s="605" t="s">
        <v>130</v>
      </c>
      <c r="E43" s="277">
        <v>380</v>
      </c>
      <c r="F43" s="278">
        <v>25</v>
      </c>
      <c r="G43" s="404">
        <v>0</v>
      </c>
      <c r="H43" s="414">
        <v>0</v>
      </c>
      <c r="I43" s="314">
        <f t="shared" si="20"/>
        <v>0</v>
      </c>
      <c r="J43" s="218">
        <f t="shared" si="17"/>
        <v>355680</v>
      </c>
      <c r="K43" s="219">
        <f>IF(E43=0,0,IF((J43/F43)*amortissement-J43&lt;0,0,(J43/F43)*amortissement-J43))</f>
        <v>213408</v>
      </c>
      <c r="L43" s="220">
        <f t="shared" si="18"/>
        <v>0</v>
      </c>
      <c r="M43" s="219">
        <f t="shared" si="19"/>
        <v>569088</v>
      </c>
    </row>
    <row r="44" spans="1:13" x14ac:dyDescent="0.2">
      <c r="B44" s="115"/>
      <c r="C44" s="97"/>
      <c r="D44" s="127"/>
      <c r="E44" s="184"/>
      <c r="F44" s="185"/>
      <c r="G44" s="204"/>
      <c r="H44" s="200"/>
      <c r="I44" s="283"/>
      <c r="J44" s="218"/>
      <c r="K44" s="219"/>
      <c r="L44" s="220"/>
      <c r="M44" s="219"/>
    </row>
    <row r="45" spans="1:13" x14ac:dyDescent="0.2">
      <c r="B45" s="115"/>
      <c r="C45" s="97"/>
      <c r="D45" s="127"/>
      <c r="E45" s="184"/>
      <c r="F45" s="185"/>
      <c r="G45" s="204"/>
      <c r="H45" s="200"/>
      <c r="I45" s="283"/>
      <c r="J45" s="218"/>
      <c r="K45" s="219"/>
      <c r="L45" s="220"/>
      <c r="M45" s="219"/>
    </row>
    <row r="46" spans="1:13" s="38" customFormat="1" x14ac:dyDescent="0.2">
      <c r="B46" s="116"/>
      <c r="C46" s="98"/>
      <c r="D46" s="129"/>
      <c r="E46" s="193"/>
      <c r="F46" s="194"/>
      <c r="G46" s="193"/>
      <c r="H46" s="205"/>
      <c r="I46" s="310"/>
      <c r="J46" s="221"/>
      <c r="K46" s="222"/>
      <c r="L46" s="223"/>
      <c r="M46" s="222"/>
    </row>
    <row r="47" spans="1:13" x14ac:dyDescent="0.2">
      <c r="B47" s="136" t="s">
        <v>145</v>
      </c>
      <c r="C47" s="289"/>
      <c r="D47" s="290"/>
      <c r="E47" s="190"/>
      <c r="F47" s="191"/>
      <c r="G47" s="190"/>
      <c r="H47" s="203"/>
      <c r="I47" s="309"/>
      <c r="J47" s="182"/>
      <c r="K47" s="199"/>
      <c r="L47" s="208"/>
      <c r="M47" s="199"/>
    </row>
    <row r="48" spans="1:13" x14ac:dyDescent="0.2">
      <c r="B48" s="115" t="s">
        <v>436</v>
      </c>
      <c r="C48" s="606" t="s">
        <v>238</v>
      </c>
      <c r="D48" s="605" t="s">
        <v>238</v>
      </c>
      <c r="E48" s="410">
        <v>0</v>
      </c>
      <c r="F48" s="403">
        <v>0</v>
      </c>
      <c r="G48" s="404">
        <v>0</v>
      </c>
      <c r="H48" s="414">
        <v>0</v>
      </c>
      <c r="I48" s="314">
        <f t="shared" ref="I48:I50" si="22">IF(G48=0,0,H48/G48)</f>
        <v>0</v>
      </c>
      <c r="J48" s="284">
        <f>IF(E48=0,0,E48*Surf_Men)</f>
        <v>0</v>
      </c>
      <c r="K48" s="219">
        <f>IF(E48=0,0,IF((J48/F48)*amortissement-J48&lt;0,0,(J48/F48)*amortissement-J48))</f>
        <v>0</v>
      </c>
      <c r="L48" s="220">
        <f>IF(I48=0,0,I48*Surf_Men*amortissement)</f>
        <v>0</v>
      </c>
      <c r="M48" s="219">
        <f>IF(F48=0,0,J48/F48*amortissement)</f>
        <v>0</v>
      </c>
    </row>
    <row r="49" spans="1:13" ht="25.5" x14ac:dyDescent="0.2">
      <c r="B49" s="115" t="s">
        <v>434</v>
      </c>
      <c r="C49" s="606" t="s">
        <v>124</v>
      </c>
      <c r="D49" s="605" t="s">
        <v>677</v>
      </c>
      <c r="E49" s="277">
        <v>20</v>
      </c>
      <c r="F49" s="278">
        <v>35</v>
      </c>
      <c r="G49" s="281">
        <v>10</v>
      </c>
      <c r="H49" s="282">
        <v>10</v>
      </c>
      <c r="I49" s="314">
        <f t="shared" si="22"/>
        <v>1</v>
      </c>
      <c r="J49" s="284">
        <f>IF(E49=0,0,E49*Surf_Men)</f>
        <v>18720</v>
      </c>
      <c r="K49" s="219">
        <f>IF(E49=0,0,IF((J49/F49)*amortissement-J49&lt;0,0,(J49/F49)*amortissement-J49))</f>
        <v>2674.2857142857174</v>
      </c>
      <c r="L49" s="220">
        <f>IF(I49=0,0,I49*Surf_Men*amortissement)</f>
        <v>37440</v>
      </c>
      <c r="M49" s="219">
        <f>IF(F49=0,0,J49/F49*amortissement)</f>
        <v>21394.285714285717</v>
      </c>
    </row>
    <row r="50" spans="1:13" ht="25.5" x14ac:dyDescent="0.2">
      <c r="B50" s="115" t="s">
        <v>435</v>
      </c>
      <c r="C50" s="606" t="s">
        <v>124</v>
      </c>
      <c r="D50" s="605" t="s">
        <v>677</v>
      </c>
      <c r="E50" s="277">
        <v>20</v>
      </c>
      <c r="F50" s="278">
        <v>25</v>
      </c>
      <c r="G50" s="281">
        <v>5</v>
      </c>
      <c r="H50" s="282">
        <v>10</v>
      </c>
      <c r="I50" s="314">
        <f t="shared" si="22"/>
        <v>2</v>
      </c>
      <c r="J50" s="284">
        <f>IF(E50=0,0,E50*Surf_Men)</f>
        <v>18720</v>
      </c>
      <c r="K50" s="219">
        <f>IF(E50=0,0,IF((J50/F50)*amortissement-J50&lt;0,0,(J50/F50)*amortissement-J50))</f>
        <v>11232</v>
      </c>
      <c r="L50" s="220">
        <f>IF(I50=0,0,I50*Surf_Men*amortissement)</f>
        <v>74880</v>
      </c>
      <c r="M50" s="219">
        <f>IF(F50=0,0,J50/F50*amortissement)</f>
        <v>29952</v>
      </c>
    </row>
    <row r="51" spans="1:13" x14ac:dyDescent="0.2">
      <c r="B51" s="115"/>
      <c r="C51" s="97"/>
      <c r="D51" s="127"/>
      <c r="E51" s="277"/>
      <c r="F51" s="278"/>
      <c r="G51" s="281"/>
      <c r="H51" s="282"/>
      <c r="I51" s="314"/>
      <c r="J51" s="284"/>
      <c r="K51" s="219"/>
      <c r="L51" s="220"/>
      <c r="M51" s="219"/>
    </row>
    <row r="52" spans="1:13" x14ac:dyDescent="0.2">
      <c r="A52" s="35"/>
      <c r="B52" s="117"/>
      <c r="C52" s="35"/>
      <c r="D52" s="126"/>
      <c r="E52" s="188"/>
      <c r="F52" s="189"/>
      <c r="G52" s="188"/>
      <c r="H52" s="202"/>
      <c r="I52" s="299"/>
      <c r="J52" s="215"/>
      <c r="K52" s="216"/>
      <c r="L52" s="217"/>
      <c r="M52" s="216"/>
    </row>
    <row r="53" spans="1:13" s="31" customFormat="1" ht="38.25" x14ac:dyDescent="0.2">
      <c r="A53" s="363"/>
      <c r="B53" s="143" t="s">
        <v>146</v>
      </c>
      <c r="C53" s="364" t="str">
        <f>C$13</f>
        <v>Commentaires</v>
      </c>
      <c r="D53" s="365" t="s">
        <v>147</v>
      </c>
      <c r="E53" s="355" t="s">
        <v>335</v>
      </c>
      <c r="F53" s="356" t="s">
        <v>321</v>
      </c>
      <c r="G53" s="357" t="s">
        <v>336</v>
      </c>
      <c r="H53" s="358" t="s">
        <v>334</v>
      </c>
      <c r="I53" s="359" t="s">
        <v>322</v>
      </c>
      <c r="J53" s="360" t="s">
        <v>483</v>
      </c>
      <c r="K53" s="361" t="s">
        <v>494</v>
      </c>
      <c r="L53" s="362" t="s">
        <v>482</v>
      </c>
      <c r="M53" s="361" t="s">
        <v>495</v>
      </c>
    </row>
    <row r="54" spans="1:13" x14ac:dyDescent="0.2">
      <c r="B54" s="139" t="s">
        <v>426</v>
      </c>
      <c r="C54" s="140"/>
      <c r="D54" s="141"/>
      <c r="E54" s="195"/>
      <c r="F54" s="196"/>
      <c r="G54" s="195"/>
      <c r="H54" s="206"/>
      <c r="I54" s="311"/>
      <c r="J54" s="224"/>
      <c r="K54" s="225"/>
      <c r="L54" s="226"/>
      <c r="M54" s="225"/>
    </row>
    <row r="55" spans="1:13" x14ac:dyDescent="0.2">
      <c r="B55" s="115" t="s">
        <v>425</v>
      </c>
      <c r="C55" s="606" t="s">
        <v>680</v>
      </c>
      <c r="D55" s="605" t="s">
        <v>679</v>
      </c>
      <c r="E55" s="277">
        <v>170</v>
      </c>
      <c r="F55" s="278">
        <v>30</v>
      </c>
      <c r="G55" s="281">
        <v>10</v>
      </c>
      <c r="H55" s="282">
        <v>10</v>
      </c>
      <c r="I55" s="314">
        <f t="shared" ref="I55:I61" si="23">IF(G55=0,0,H55/G55)</f>
        <v>1</v>
      </c>
      <c r="J55" s="218">
        <f t="shared" ref="J55:J61" si="24">IF(E55=0,0,E55*Surf_Men)</f>
        <v>159120</v>
      </c>
      <c r="K55" s="219">
        <f t="shared" ref="K55:K61" si="25">IF(E55=0,0,IF((J55/F55)*amortissement-J55&lt;0,0,(J55/F55)*amortissement-J55))</f>
        <v>53040</v>
      </c>
      <c r="L55" s="220">
        <f t="shared" ref="L55:L61" si="26">IF(I55=0,0,I55*Surf_Men*amortissement)</f>
        <v>37440</v>
      </c>
      <c r="M55" s="219">
        <f t="shared" ref="M55:M61" si="27">IF(F55=0,0,J55/F55*amortissement)</f>
        <v>212160</v>
      </c>
    </row>
    <row r="56" spans="1:13" x14ac:dyDescent="0.2">
      <c r="B56" s="115" t="s">
        <v>423</v>
      </c>
      <c r="C56" s="606" t="s">
        <v>678</v>
      </c>
      <c r="D56" s="605" t="s">
        <v>679</v>
      </c>
      <c r="E56" s="277">
        <v>170</v>
      </c>
      <c r="F56" s="278">
        <v>40</v>
      </c>
      <c r="G56" s="281">
        <v>10</v>
      </c>
      <c r="H56" s="282">
        <v>28</v>
      </c>
      <c r="I56" s="314">
        <f t="shared" si="23"/>
        <v>2.8</v>
      </c>
      <c r="J56" s="218">
        <f t="shared" si="24"/>
        <v>159120</v>
      </c>
      <c r="K56" s="219">
        <f t="shared" si="25"/>
        <v>0</v>
      </c>
      <c r="L56" s="220">
        <f t="shared" si="26"/>
        <v>104831.99999999999</v>
      </c>
      <c r="M56" s="219">
        <f t="shared" si="27"/>
        <v>159120</v>
      </c>
    </row>
    <row r="57" spans="1:13" ht="25.5" x14ac:dyDescent="0.2">
      <c r="B57" s="115" t="s">
        <v>148</v>
      </c>
      <c r="C57" s="606" t="s">
        <v>131</v>
      </c>
      <c r="D57" s="605" t="s">
        <v>132</v>
      </c>
      <c r="E57" s="277">
        <v>140</v>
      </c>
      <c r="F57" s="278">
        <v>30</v>
      </c>
      <c r="G57" s="281">
        <v>0</v>
      </c>
      <c r="H57" s="282">
        <v>0</v>
      </c>
      <c r="I57" s="314">
        <f t="shared" si="23"/>
        <v>0</v>
      </c>
      <c r="J57" s="218">
        <f t="shared" si="24"/>
        <v>131040</v>
      </c>
      <c r="K57" s="219">
        <f t="shared" si="25"/>
        <v>43680</v>
      </c>
      <c r="L57" s="220">
        <f t="shared" si="26"/>
        <v>0</v>
      </c>
      <c r="M57" s="219">
        <f t="shared" si="27"/>
        <v>174720</v>
      </c>
    </row>
    <row r="58" spans="1:13" ht="25.5" x14ac:dyDescent="0.2">
      <c r="B58" s="115" t="s">
        <v>421</v>
      </c>
      <c r="C58" s="606" t="s">
        <v>131</v>
      </c>
      <c r="D58" s="605" t="s">
        <v>681</v>
      </c>
      <c r="E58" s="277">
        <v>120</v>
      </c>
      <c r="F58" s="278">
        <v>30</v>
      </c>
      <c r="G58" s="281">
        <v>0</v>
      </c>
      <c r="H58" s="282">
        <v>0</v>
      </c>
      <c r="I58" s="314">
        <f t="shared" si="23"/>
        <v>0</v>
      </c>
      <c r="J58" s="218">
        <f t="shared" si="24"/>
        <v>112320</v>
      </c>
      <c r="K58" s="219">
        <f t="shared" si="25"/>
        <v>37440</v>
      </c>
      <c r="L58" s="220">
        <f t="shared" si="26"/>
        <v>0</v>
      </c>
      <c r="M58" s="219">
        <f t="shared" si="27"/>
        <v>149760</v>
      </c>
    </row>
    <row r="59" spans="1:13" ht="25.5" x14ac:dyDescent="0.2">
      <c r="B59" s="115" t="s">
        <v>420</v>
      </c>
      <c r="C59" s="606" t="s">
        <v>131</v>
      </c>
      <c r="D59" s="605" t="s">
        <v>681</v>
      </c>
      <c r="E59" s="277">
        <v>90</v>
      </c>
      <c r="F59" s="278">
        <v>20</v>
      </c>
      <c r="G59" s="281">
        <v>0</v>
      </c>
      <c r="H59" s="282">
        <v>0</v>
      </c>
      <c r="I59" s="314">
        <f t="shared" si="23"/>
        <v>0</v>
      </c>
      <c r="J59" s="218">
        <f t="shared" si="24"/>
        <v>84240</v>
      </c>
      <c r="K59" s="219">
        <f t="shared" si="25"/>
        <v>84240</v>
      </c>
      <c r="L59" s="220">
        <f t="shared" si="26"/>
        <v>0</v>
      </c>
      <c r="M59" s="219">
        <f t="shared" si="27"/>
        <v>168480</v>
      </c>
    </row>
    <row r="60" spans="1:13" ht="25.5" x14ac:dyDescent="0.2">
      <c r="B60" s="115" t="s">
        <v>424</v>
      </c>
      <c r="C60" s="606" t="s">
        <v>682</v>
      </c>
      <c r="D60" s="605" t="s">
        <v>683</v>
      </c>
      <c r="E60" s="277">
        <v>110</v>
      </c>
      <c r="F60" s="278">
        <v>30</v>
      </c>
      <c r="G60" s="281">
        <v>10</v>
      </c>
      <c r="H60" s="282">
        <v>10</v>
      </c>
      <c r="I60" s="314">
        <f t="shared" si="23"/>
        <v>1</v>
      </c>
      <c r="J60" s="218">
        <f t="shared" si="24"/>
        <v>102960</v>
      </c>
      <c r="K60" s="219">
        <f t="shared" si="25"/>
        <v>34320</v>
      </c>
      <c r="L60" s="220">
        <f t="shared" si="26"/>
        <v>37440</v>
      </c>
      <c r="M60" s="219">
        <f t="shared" si="27"/>
        <v>137280</v>
      </c>
    </row>
    <row r="61" spans="1:13" ht="25.5" x14ac:dyDescent="0.2">
      <c r="B61" s="115" t="s">
        <v>422</v>
      </c>
      <c r="C61" s="606" t="s">
        <v>682</v>
      </c>
      <c r="D61" s="605" t="s">
        <v>683</v>
      </c>
      <c r="E61" s="277">
        <v>80</v>
      </c>
      <c r="F61" s="278">
        <v>20</v>
      </c>
      <c r="G61" s="281">
        <v>5</v>
      </c>
      <c r="H61" s="282">
        <v>10</v>
      </c>
      <c r="I61" s="314">
        <f t="shared" si="23"/>
        <v>2</v>
      </c>
      <c r="J61" s="218">
        <f t="shared" si="24"/>
        <v>74880</v>
      </c>
      <c r="K61" s="219">
        <f t="shared" si="25"/>
        <v>74880</v>
      </c>
      <c r="L61" s="220">
        <f t="shared" si="26"/>
        <v>74880</v>
      </c>
      <c r="M61" s="219">
        <f t="shared" si="27"/>
        <v>149760</v>
      </c>
    </row>
    <row r="62" spans="1:13" x14ac:dyDescent="0.2">
      <c r="B62" s="33"/>
      <c r="C62" s="44"/>
      <c r="D62" s="269"/>
      <c r="E62" s="197"/>
      <c r="F62" s="198"/>
      <c r="G62" s="197"/>
      <c r="H62" s="207"/>
      <c r="I62" s="295"/>
      <c r="J62" s="227"/>
      <c r="K62" s="228"/>
      <c r="L62" s="229"/>
      <c r="M62" s="228"/>
    </row>
    <row r="63" spans="1:13" x14ac:dyDescent="0.2">
      <c r="A63" s="35"/>
      <c r="B63" s="117"/>
      <c r="C63" s="270"/>
      <c r="D63" s="271"/>
      <c r="E63" s="188"/>
      <c r="F63" s="189"/>
      <c r="G63" s="188"/>
      <c r="H63" s="202"/>
      <c r="I63" s="299"/>
      <c r="J63" s="215"/>
      <c r="K63" s="216"/>
      <c r="L63" s="217"/>
      <c r="M63" s="216"/>
    </row>
    <row r="64" spans="1:13" s="31" customFormat="1" ht="38.25" x14ac:dyDescent="0.2">
      <c r="A64" s="363"/>
      <c r="B64" s="143" t="s">
        <v>152</v>
      </c>
      <c r="C64" s="364" t="str">
        <f>C$13</f>
        <v>Commentaires</v>
      </c>
      <c r="D64" s="365" t="s">
        <v>147</v>
      </c>
      <c r="E64" s="355" t="s">
        <v>335</v>
      </c>
      <c r="F64" s="356" t="s">
        <v>321</v>
      </c>
      <c r="G64" s="357" t="s">
        <v>336</v>
      </c>
      <c r="H64" s="358" t="s">
        <v>334</v>
      </c>
      <c r="I64" s="359" t="s">
        <v>322</v>
      </c>
      <c r="J64" s="360" t="s">
        <v>483</v>
      </c>
      <c r="K64" s="361" t="s">
        <v>494</v>
      </c>
      <c r="L64" s="362" t="s">
        <v>482</v>
      </c>
      <c r="M64" s="361" t="s">
        <v>495</v>
      </c>
    </row>
    <row r="65" spans="1:13" x14ac:dyDescent="0.2">
      <c r="B65" s="130" t="s">
        <v>684</v>
      </c>
      <c r="C65" s="289"/>
      <c r="D65" s="290"/>
      <c r="E65" s="190"/>
      <c r="F65" s="191"/>
      <c r="G65" s="190"/>
      <c r="H65" s="203"/>
      <c r="I65" s="309"/>
      <c r="J65" s="182"/>
      <c r="K65" s="199"/>
      <c r="L65" s="208"/>
      <c r="M65" s="199"/>
    </row>
    <row r="66" spans="1:13" x14ac:dyDescent="0.2">
      <c r="B66" s="607" t="s">
        <v>691</v>
      </c>
      <c r="C66" s="606" t="s">
        <v>238</v>
      </c>
      <c r="D66" s="605" t="s">
        <v>697</v>
      </c>
      <c r="E66" s="610">
        <v>0</v>
      </c>
      <c r="F66" s="611">
        <v>0</v>
      </c>
      <c r="G66" s="612">
        <v>1</v>
      </c>
      <c r="H66" s="613">
        <v>2</v>
      </c>
      <c r="I66" s="614">
        <f t="shared" ref="I66:I67" si="28">IF(G66=0,0,H66/G66)</f>
        <v>2</v>
      </c>
      <c r="J66" s="218">
        <f t="shared" ref="J66:J67" si="29">IF(E66=0,0,E66*Surf_Phaut)</f>
        <v>0</v>
      </c>
      <c r="K66" s="219">
        <f t="shared" ref="K66:K67" si="30">IF(E66=0,0,IF((J66/F66)*amortissement-J66&lt;0,0,(J66/F66)*amortissement-J66))</f>
        <v>0</v>
      </c>
      <c r="L66" s="220">
        <f t="shared" ref="L66:L79" si="31">IF(I66=0,0,I66*Surf_Phaut*amortissement)</f>
        <v>40000</v>
      </c>
      <c r="M66" s="219">
        <f t="shared" ref="M66:M78" si="32">IF(F66=0,0,J66/F66*amortissement)</f>
        <v>0</v>
      </c>
    </row>
    <row r="67" spans="1:13" x14ac:dyDescent="0.2">
      <c r="B67" s="607" t="s">
        <v>692</v>
      </c>
      <c r="C67" s="606" t="s">
        <v>238</v>
      </c>
      <c r="D67" s="605" t="s">
        <v>697</v>
      </c>
      <c r="E67" s="610"/>
      <c r="F67" s="611"/>
      <c r="G67" s="612">
        <v>5</v>
      </c>
      <c r="H67" s="613">
        <v>2</v>
      </c>
      <c r="I67" s="614">
        <f t="shared" si="28"/>
        <v>0.4</v>
      </c>
      <c r="J67" s="218">
        <f t="shared" si="29"/>
        <v>0</v>
      </c>
      <c r="K67" s="219">
        <f t="shared" si="30"/>
        <v>0</v>
      </c>
      <c r="L67" s="220">
        <f t="shared" si="31"/>
        <v>8000</v>
      </c>
      <c r="M67" s="219">
        <f t="shared" si="32"/>
        <v>0</v>
      </c>
    </row>
    <row r="68" spans="1:13" ht="25.5" x14ac:dyDescent="0.2">
      <c r="B68" s="607" t="s">
        <v>698</v>
      </c>
      <c r="C68" s="606" t="s">
        <v>700</v>
      </c>
      <c r="D68" s="605" t="s">
        <v>701</v>
      </c>
      <c r="E68" s="610">
        <v>45</v>
      </c>
      <c r="F68" s="611">
        <v>30</v>
      </c>
      <c r="G68" s="612">
        <v>5</v>
      </c>
      <c r="H68" s="613">
        <f>5%*E68</f>
        <v>2.25</v>
      </c>
      <c r="I68" s="614">
        <f t="shared" ref="I68" si="33">IF(G68=0,0,H68/G68)</f>
        <v>0.45</v>
      </c>
      <c r="J68" s="218">
        <f t="shared" ref="J68" si="34">IF(E68=0,0,E68*Surf_Phaut)</f>
        <v>22500</v>
      </c>
      <c r="K68" s="219">
        <f t="shared" ref="K68" si="35">IF(E68=0,0,IF((J68/F68)*amortissement-J68&lt;0,0,(J68/F68)*amortissement-J68))</f>
        <v>7500</v>
      </c>
      <c r="L68" s="220">
        <f t="shared" si="31"/>
        <v>9000</v>
      </c>
      <c r="M68" s="219">
        <f t="shared" si="32"/>
        <v>30000</v>
      </c>
    </row>
    <row r="69" spans="1:13" ht="25.5" x14ac:dyDescent="0.2">
      <c r="B69" s="607" t="s">
        <v>693</v>
      </c>
      <c r="C69" s="606" t="s">
        <v>120</v>
      </c>
      <c r="D69" s="605" t="s">
        <v>699</v>
      </c>
      <c r="E69" s="610">
        <v>30</v>
      </c>
      <c r="F69" s="611">
        <v>20</v>
      </c>
      <c r="G69" s="612">
        <v>5</v>
      </c>
      <c r="H69" s="613">
        <f t="shared" ref="H69:H71" si="36">5%*E69</f>
        <v>1.5</v>
      </c>
      <c r="I69" s="614">
        <f>IF(G69=0,0,H69/G69)</f>
        <v>0.3</v>
      </c>
      <c r="J69" s="218">
        <f>IF(E69=0,0,E69*Surf_Phaut)</f>
        <v>15000</v>
      </c>
      <c r="K69" s="219">
        <f>IF(E69=0,0,IF((J69/F69)*amortissement-J69&lt;0,0,(J69/F69)*amortissement-J69))</f>
        <v>15000</v>
      </c>
      <c r="L69" s="220">
        <f t="shared" si="31"/>
        <v>6000</v>
      </c>
      <c r="M69" s="219">
        <f t="shared" si="32"/>
        <v>30000</v>
      </c>
    </row>
    <row r="70" spans="1:13" ht="25.5" x14ac:dyDescent="0.2">
      <c r="B70" s="607" t="s">
        <v>695</v>
      </c>
      <c r="C70" s="606" t="s">
        <v>119</v>
      </c>
      <c r="D70" s="605" t="s">
        <v>699</v>
      </c>
      <c r="E70" s="610">
        <v>35</v>
      </c>
      <c r="F70" s="611">
        <v>30</v>
      </c>
      <c r="G70" s="612">
        <v>5</v>
      </c>
      <c r="H70" s="613">
        <f t="shared" si="36"/>
        <v>1.75</v>
      </c>
      <c r="I70" s="614">
        <f t="shared" ref="I70" si="37">IF(G70=0,0,H70/G70)</f>
        <v>0.35</v>
      </c>
      <c r="J70" s="218">
        <f t="shared" ref="J70" si="38">IF(E70=0,0,E70*Surf_Phaut)</f>
        <v>17500</v>
      </c>
      <c r="K70" s="219">
        <f t="shared" ref="K70" si="39">IF(E70=0,0,IF((J70/F70)*amortissement-J70&lt;0,0,(J70/F70)*amortissement-J70))</f>
        <v>5833.3333333333358</v>
      </c>
      <c r="L70" s="220">
        <f t="shared" si="31"/>
        <v>7000</v>
      </c>
      <c r="M70" s="219">
        <f t="shared" si="32"/>
        <v>23333.333333333336</v>
      </c>
    </row>
    <row r="71" spans="1:13" ht="25.5" x14ac:dyDescent="0.2">
      <c r="B71" s="607" t="s">
        <v>694</v>
      </c>
      <c r="C71" s="606" t="s">
        <v>120</v>
      </c>
      <c r="D71" s="605" t="s">
        <v>699</v>
      </c>
      <c r="E71" s="610">
        <v>20</v>
      </c>
      <c r="F71" s="611">
        <v>20</v>
      </c>
      <c r="G71" s="612">
        <v>5</v>
      </c>
      <c r="H71" s="613">
        <f t="shared" si="36"/>
        <v>1</v>
      </c>
      <c r="I71" s="614">
        <f t="shared" ref="I71:I78" si="40">IF(G71=0,0,H71/G71)</f>
        <v>0.2</v>
      </c>
      <c r="J71" s="218">
        <f t="shared" ref="J71" si="41">IF(E71=0,0,E71*Surf_Phaut)</f>
        <v>10000</v>
      </c>
      <c r="K71" s="219">
        <f t="shared" ref="K71" si="42">IF(E71=0,0,IF((J71/F71)*amortissement-J71&lt;0,0,(J71/F71)*amortissement-J71))</f>
        <v>10000</v>
      </c>
      <c r="L71" s="220">
        <f t="shared" si="31"/>
        <v>4000</v>
      </c>
      <c r="M71" s="219">
        <f t="shared" si="32"/>
        <v>20000</v>
      </c>
    </row>
    <row r="72" spans="1:13" x14ac:dyDescent="0.2">
      <c r="B72" s="607" t="s">
        <v>690</v>
      </c>
      <c r="C72" s="606" t="s">
        <v>121</v>
      </c>
      <c r="D72" s="127"/>
      <c r="E72" s="610">
        <v>75</v>
      </c>
      <c r="F72" s="611">
        <v>35</v>
      </c>
      <c r="G72" s="612"/>
      <c r="H72" s="613">
        <v>0</v>
      </c>
      <c r="I72" s="614">
        <f t="shared" si="40"/>
        <v>0</v>
      </c>
      <c r="J72" s="218">
        <f t="shared" ref="J72" si="43">IF(E72=0,0,E72*Surf_Phaut)</f>
        <v>37500</v>
      </c>
      <c r="K72" s="219">
        <f t="shared" ref="K72" si="44">IF(E72=0,0,IF((J72/F72)*amortissement-J72&lt;0,0,(J72/F72)*amortissement-J72))</f>
        <v>5357.1428571428551</v>
      </c>
      <c r="L72" s="220">
        <f t="shared" si="31"/>
        <v>0</v>
      </c>
      <c r="M72" s="219">
        <f t="shared" si="32"/>
        <v>42857.142857142855</v>
      </c>
    </row>
    <row r="73" spans="1:13" x14ac:dyDescent="0.2">
      <c r="B73" s="607" t="s">
        <v>687</v>
      </c>
      <c r="C73" s="606" t="s">
        <v>238</v>
      </c>
      <c r="D73" s="605" t="s">
        <v>704</v>
      </c>
      <c r="E73" s="610">
        <v>120</v>
      </c>
      <c r="F73" s="611">
        <v>25</v>
      </c>
      <c r="G73" s="612">
        <v>1</v>
      </c>
      <c r="H73" s="613">
        <f>2%*E73</f>
        <v>2.4</v>
      </c>
      <c r="I73" s="614">
        <f t="shared" si="40"/>
        <v>2.4</v>
      </c>
      <c r="J73" s="218">
        <f t="shared" ref="J73:J78" si="45">IF(E73=0,0,E73*Surf_Phaut)</f>
        <v>60000</v>
      </c>
      <c r="K73" s="219">
        <f t="shared" ref="K73:K78" si="46">IF(E73=0,0,IF((J73/F73)*amortissement-J73&lt;0,0,(J73/F73)*amortissement-J73))</f>
        <v>36000</v>
      </c>
      <c r="L73" s="220">
        <f t="shared" si="31"/>
        <v>48000</v>
      </c>
      <c r="M73" s="219">
        <f t="shared" si="32"/>
        <v>96000</v>
      </c>
    </row>
    <row r="74" spans="1:13" x14ac:dyDescent="0.2">
      <c r="B74" s="607" t="s">
        <v>688</v>
      </c>
      <c r="C74" s="606" t="s">
        <v>238</v>
      </c>
      <c r="D74" s="605" t="s">
        <v>704</v>
      </c>
      <c r="E74" s="610">
        <v>105</v>
      </c>
      <c r="F74" s="611">
        <v>30</v>
      </c>
      <c r="G74" s="612">
        <v>1</v>
      </c>
      <c r="H74" s="613">
        <f t="shared" ref="H74:H76" si="47">2%*E74</f>
        <v>2.1</v>
      </c>
      <c r="I74" s="614">
        <f t="shared" si="40"/>
        <v>2.1</v>
      </c>
      <c r="J74" s="218">
        <f t="shared" si="45"/>
        <v>52500</v>
      </c>
      <c r="K74" s="219">
        <f t="shared" si="46"/>
        <v>17500</v>
      </c>
      <c r="L74" s="220">
        <f t="shared" si="31"/>
        <v>42000</v>
      </c>
      <c r="M74" s="219">
        <f t="shared" si="32"/>
        <v>70000</v>
      </c>
    </row>
    <row r="75" spans="1:13" x14ac:dyDescent="0.2">
      <c r="B75" s="607" t="s">
        <v>685</v>
      </c>
      <c r="C75" s="606" t="s">
        <v>238</v>
      </c>
      <c r="D75" s="605" t="s">
        <v>704</v>
      </c>
      <c r="E75" s="610">
        <v>100</v>
      </c>
      <c r="F75" s="611">
        <v>25</v>
      </c>
      <c r="G75" s="612">
        <v>1</v>
      </c>
      <c r="H75" s="613">
        <f t="shared" si="47"/>
        <v>2</v>
      </c>
      <c r="I75" s="614">
        <f t="shared" si="40"/>
        <v>2</v>
      </c>
      <c r="J75" s="218">
        <f t="shared" si="45"/>
        <v>50000</v>
      </c>
      <c r="K75" s="219">
        <f t="shared" si="46"/>
        <v>30000</v>
      </c>
      <c r="L75" s="220">
        <f t="shared" si="31"/>
        <v>40000</v>
      </c>
      <c r="M75" s="219">
        <f t="shared" si="32"/>
        <v>80000</v>
      </c>
    </row>
    <row r="76" spans="1:13" x14ac:dyDescent="0.2">
      <c r="B76" s="607" t="s">
        <v>686</v>
      </c>
      <c r="C76" s="606" t="s">
        <v>238</v>
      </c>
      <c r="D76" s="605" t="s">
        <v>704</v>
      </c>
      <c r="E76" s="610">
        <v>90</v>
      </c>
      <c r="F76" s="611">
        <v>30</v>
      </c>
      <c r="G76" s="612">
        <v>1</v>
      </c>
      <c r="H76" s="613">
        <f t="shared" si="47"/>
        <v>1.8</v>
      </c>
      <c r="I76" s="614">
        <f t="shared" si="40"/>
        <v>1.8</v>
      </c>
      <c r="J76" s="218">
        <f t="shared" si="45"/>
        <v>45000</v>
      </c>
      <c r="K76" s="219">
        <f t="shared" si="46"/>
        <v>15000</v>
      </c>
      <c r="L76" s="220">
        <f t="shared" si="31"/>
        <v>36000</v>
      </c>
      <c r="M76" s="219">
        <f t="shared" si="32"/>
        <v>60000</v>
      </c>
    </row>
    <row r="77" spans="1:13" ht="25.5" x14ac:dyDescent="0.2">
      <c r="B77" s="607" t="s">
        <v>689</v>
      </c>
      <c r="C77" s="606" t="s">
        <v>705</v>
      </c>
      <c r="D77" s="605" t="s">
        <v>702</v>
      </c>
      <c r="E77" s="610">
        <v>45</v>
      </c>
      <c r="F77" s="611">
        <v>20</v>
      </c>
      <c r="G77" s="612">
        <v>1</v>
      </c>
      <c r="H77" s="613">
        <f>3%*E77</f>
        <v>1.3499999999999999</v>
      </c>
      <c r="I77" s="614">
        <f t="shared" si="40"/>
        <v>1.3499999999999999</v>
      </c>
      <c r="J77" s="218">
        <f t="shared" si="45"/>
        <v>22500</v>
      </c>
      <c r="K77" s="219">
        <f t="shared" si="46"/>
        <v>22500</v>
      </c>
      <c r="L77" s="220">
        <f t="shared" si="31"/>
        <v>26999.999999999996</v>
      </c>
      <c r="M77" s="219">
        <f t="shared" si="32"/>
        <v>45000</v>
      </c>
    </row>
    <row r="78" spans="1:13" x14ac:dyDescent="0.2">
      <c r="B78" s="607" t="s">
        <v>696</v>
      </c>
      <c r="C78" s="606" t="s">
        <v>703</v>
      </c>
      <c r="D78" s="605" t="s">
        <v>122</v>
      </c>
      <c r="E78" s="610">
        <v>145</v>
      </c>
      <c r="F78" s="611">
        <v>30</v>
      </c>
      <c r="G78" s="612">
        <v>1</v>
      </c>
      <c r="H78" s="613">
        <f>4%*E78</f>
        <v>5.8</v>
      </c>
      <c r="I78" s="614">
        <f t="shared" si="40"/>
        <v>5.8</v>
      </c>
      <c r="J78" s="218">
        <f t="shared" si="45"/>
        <v>72500</v>
      </c>
      <c r="K78" s="219">
        <f t="shared" si="46"/>
        <v>24166.666666666657</v>
      </c>
      <c r="L78" s="220">
        <f t="shared" si="31"/>
        <v>116000</v>
      </c>
      <c r="M78" s="219">
        <f t="shared" si="32"/>
        <v>96666.666666666657</v>
      </c>
    </row>
    <row r="79" spans="1:13" x14ac:dyDescent="0.2">
      <c r="B79" s="115"/>
      <c r="C79" s="97"/>
      <c r="D79" s="127"/>
      <c r="E79" s="277"/>
      <c r="F79" s="278"/>
      <c r="G79" s="281"/>
      <c r="H79" s="282"/>
      <c r="I79" s="314"/>
      <c r="J79" s="284"/>
      <c r="K79" s="219"/>
      <c r="L79" s="220">
        <f t="shared" si="31"/>
        <v>0</v>
      </c>
      <c r="M79" s="219"/>
    </row>
    <row r="80" spans="1:13" x14ac:dyDescent="0.2">
      <c r="A80" s="35"/>
      <c r="B80" s="117"/>
      <c r="C80" s="270"/>
      <c r="D80" s="271"/>
      <c r="E80" s="188"/>
      <c r="F80" s="189"/>
      <c r="G80" s="188"/>
      <c r="H80" s="202"/>
      <c r="I80" s="299"/>
      <c r="J80" s="215"/>
      <c r="K80" s="216"/>
      <c r="L80" s="217"/>
      <c r="M80" s="216"/>
    </row>
    <row r="81" spans="1:13" s="31" customFormat="1" ht="38.25" x14ac:dyDescent="0.2">
      <c r="A81" s="363"/>
      <c r="B81" s="143" t="s">
        <v>33</v>
      </c>
      <c r="C81" s="364" t="str">
        <f>C$13</f>
        <v>Commentaires</v>
      </c>
      <c r="D81" s="365" t="s">
        <v>147</v>
      </c>
      <c r="E81" s="355" t="s">
        <v>335</v>
      </c>
      <c r="F81" s="356" t="s">
        <v>321</v>
      </c>
      <c r="G81" s="357" t="s">
        <v>336</v>
      </c>
      <c r="H81" s="358" t="s">
        <v>334</v>
      </c>
      <c r="I81" s="359" t="s">
        <v>322</v>
      </c>
      <c r="J81" s="360" t="s">
        <v>483</v>
      </c>
      <c r="K81" s="361" t="s">
        <v>494</v>
      </c>
      <c r="L81" s="362" t="s">
        <v>482</v>
      </c>
      <c r="M81" s="361" t="s">
        <v>495</v>
      </c>
    </row>
    <row r="82" spans="1:13" x14ac:dyDescent="0.2">
      <c r="B82" s="136" t="s">
        <v>499</v>
      </c>
      <c r="C82" s="137"/>
      <c r="D82" s="138"/>
      <c r="E82" s="408" t="s">
        <v>510</v>
      </c>
      <c r="F82" s="191"/>
      <c r="G82" s="190"/>
      <c r="H82" s="203"/>
      <c r="I82" s="312"/>
      <c r="J82" s="182"/>
      <c r="K82" s="199"/>
      <c r="L82" s="208"/>
      <c r="M82" s="199"/>
    </row>
    <row r="83" spans="1:13" ht="38.25" x14ac:dyDescent="0.2">
      <c r="B83" s="115" t="s">
        <v>456</v>
      </c>
      <c r="C83" s="606" t="s">
        <v>706</v>
      </c>
      <c r="D83" s="605" t="s">
        <v>707</v>
      </c>
      <c r="E83" s="401">
        <v>10000</v>
      </c>
      <c r="F83" s="278">
        <v>30</v>
      </c>
      <c r="G83" s="281">
        <v>1</v>
      </c>
      <c r="H83" s="318">
        <v>198</v>
      </c>
      <c r="I83" s="318">
        <f>IF(G83=0,0,H83/G83)</f>
        <v>198</v>
      </c>
      <c r="J83" s="218">
        <f>IF(E83=0,0,E83)</f>
        <v>10000</v>
      </c>
      <c r="K83" s="219">
        <f t="shared" ref="K83:K91" si="48">IF(E83=0,0,IF((J83/F83)*amortissement-J83&lt;0,0,(J83/F83)*amortissement-J83))</f>
        <v>3333.3333333333321</v>
      </c>
      <c r="L83" s="220">
        <f t="shared" ref="L83:L91" si="49">IF(I83=0,0,I83*NB_Logement*amortissement)</f>
        <v>364320</v>
      </c>
      <c r="M83" s="219">
        <f t="shared" ref="M83:M91" si="50">IF(F83=0,0,J83/F83*amortissement)</f>
        <v>13333.333333333332</v>
      </c>
    </row>
    <row r="84" spans="1:13" ht="25.5" x14ac:dyDescent="0.2">
      <c r="B84" s="115" t="s">
        <v>457</v>
      </c>
      <c r="C84" s="606" t="s">
        <v>710</v>
      </c>
      <c r="D84" s="605" t="s">
        <v>133</v>
      </c>
      <c r="E84" s="401">
        <v>10000</v>
      </c>
      <c r="F84" s="278">
        <v>30</v>
      </c>
      <c r="G84" s="281">
        <v>1</v>
      </c>
      <c r="H84" s="318">
        <v>79.2</v>
      </c>
      <c r="I84" s="318">
        <f t="shared" ref="I84:I90" si="51">IF(G84=0,0,H84/G84)</f>
        <v>79.2</v>
      </c>
      <c r="J84" s="218">
        <f t="shared" ref="J84:J88" si="52">IF(E84=0,0,E84)</f>
        <v>10000</v>
      </c>
      <c r="K84" s="219">
        <f t="shared" si="48"/>
        <v>3333.3333333333321</v>
      </c>
      <c r="L84" s="220">
        <f t="shared" si="49"/>
        <v>145728</v>
      </c>
      <c r="M84" s="219">
        <f t="shared" si="50"/>
        <v>13333.333333333332</v>
      </c>
    </row>
    <row r="85" spans="1:13" ht="25.5" x14ac:dyDescent="0.2">
      <c r="B85" s="115" t="s">
        <v>465</v>
      </c>
      <c r="C85" s="606" t="s">
        <v>710</v>
      </c>
      <c r="D85" s="605" t="s">
        <v>133</v>
      </c>
      <c r="E85" s="401">
        <v>10000</v>
      </c>
      <c r="F85" s="278">
        <v>30</v>
      </c>
      <c r="G85" s="281">
        <v>1</v>
      </c>
      <c r="H85" s="318">
        <v>79.2</v>
      </c>
      <c r="I85" s="318">
        <f t="shared" si="51"/>
        <v>79.2</v>
      </c>
      <c r="J85" s="218">
        <f t="shared" si="52"/>
        <v>10000</v>
      </c>
      <c r="K85" s="219">
        <f t="shared" si="48"/>
        <v>3333.3333333333321</v>
      </c>
      <c r="L85" s="220">
        <f t="shared" si="49"/>
        <v>145728</v>
      </c>
      <c r="M85" s="219">
        <f t="shared" si="50"/>
        <v>13333.333333333332</v>
      </c>
    </row>
    <row r="86" spans="1:13" x14ac:dyDescent="0.2">
      <c r="B86" s="115" t="s">
        <v>479</v>
      </c>
      <c r="C86" s="606" t="s">
        <v>711</v>
      </c>
      <c r="D86" s="605" t="s">
        <v>133</v>
      </c>
      <c r="E86" s="401">
        <v>10000</v>
      </c>
      <c r="F86" s="278">
        <v>30</v>
      </c>
      <c r="G86" s="281">
        <v>1</v>
      </c>
      <c r="H86" s="318">
        <v>79.2</v>
      </c>
      <c r="I86" s="318">
        <f t="shared" si="51"/>
        <v>79.2</v>
      </c>
      <c r="J86" s="218">
        <f t="shared" si="52"/>
        <v>10000</v>
      </c>
      <c r="K86" s="219">
        <f t="shared" si="48"/>
        <v>3333.3333333333321</v>
      </c>
      <c r="L86" s="220">
        <f t="shared" si="49"/>
        <v>145728</v>
      </c>
      <c r="M86" s="219">
        <f t="shared" si="50"/>
        <v>13333.333333333332</v>
      </c>
    </row>
    <row r="87" spans="1:13" ht="25.5" x14ac:dyDescent="0.2">
      <c r="B87" s="115" t="s">
        <v>460</v>
      </c>
      <c r="C87" s="606" t="s">
        <v>708</v>
      </c>
      <c r="D87" s="605" t="s">
        <v>133</v>
      </c>
      <c r="E87" s="401">
        <v>10000</v>
      </c>
      <c r="F87" s="278">
        <v>25</v>
      </c>
      <c r="G87" s="281">
        <v>1</v>
      </c>
      <c r="H87" s="318">
        <v>54</v>
      </c>
      <c r="I87" s="318">
        <f t="shared" si="51"/>
        <v>54</v>
      </c>
      <c r="J87" s="218">
        <f t="shared" si="52"/>
        <v>10000</v>
      </c>
      <c r="K87" s="219">
        <f t="shared" si="48"/>
        <v>6000</v>
      </c>
      <c r="L87" s="220">
        <f t="shared" si="49"/>
        <v>99360</v>
      </c>
      <c r="M87" s="219">
        <f t="shared" si="50"/>
        <v>16000</v>
      </c>
    </row>
    <row r="88" spans="1:13" x14ac:dyDescent="0.2">
      <c r="B88" s="115" t="s">
        <v>459</v>
      </c>
      <c r="C88" s="606" t="s">
        <v>709</v>
      </c>
      <c r="D88" s="605" t="s">
        <v>133</v>
      </c>
      <c r="E88" s="401">
        <v>10000</v>
      </c>
      <c r="F88" s="278">
        <v>30</v>
      </c>
      <c r="G88" s="281">
        <v>1</v>
      </c>
      <c r="H88" s="318">
        <v>74.2</v>
      </c>
      <c r="I88" s="318">
        <f t="shared" si="51"/>
        <v>74.2</v>
      </c>
      <c r="J88" s="218">
        <f t="shared" si="52"/>
        <v>10000</v>
      </c>
      <c r="K88" s="219">
        <f t="shared" si="48"/>
        <v>3333.3333333333321</v>
      </c>
      <c r="L88" s="220">
        <f t="shared" si="49"/>
        <v>136528</v>
      </c>
      <c r="M88" s="219">
        <f t="shared" si="50"/>
        <v>13333.333333333332</v>
      </c>
    </row>
    <row r="89" spans="1:13" ht="25.5" x14ac:dyDescent="0.2">
      <c r="B89" s="115" t="s">
        <v>458</v>
      </c>
      <c r="C89" s="606" t="s">
        <v>718</v>
      </c>
      <c r="D89" s="127"/>
      <c r="E89" s="317">
        <v>1500</v>
      </c>
      <c r="F89" s="278">
        <v>20</v>
      </c>
      <c r="G89" s="281">
        <v>0</v>
      </c>
      <c r="H89" s="318">
        <v>0</v>
      </c>
      <c r="I89" s="318">
        <f t="shared" si="51"/>
        <v>0</v>
      </c>
      <c r="J89" s="218">
        <f t="shared" ref="J89:J91" si="53">IF(E89=0,0,E89*NB_Logement)</f>
        <v>69000</v>
      </c>
      <c r="K89" s="219">
        <f t="shared" si="48"/>
        <v>69000</v>
      </c>
      <c r="L89" s="220">
        <f t="shared" si="49"/>
        <v>0</v>
      </c>
      <c r="M89" s="219">
        <f t="shared" si="50"/>
        <v>138000</v>
      </c>
    </row>
    <row r="90" spans="1:13" ht="25.5" x14ac:dyDescent="0.2">
      <c r="B90" s="115" t="s">
        <v>466</v>
      </c>
      <c r="C90" s="606" t="s">
        <v>134</v>
      </c>
      <c r="D90" s="605" t="s">
        <v>713</v>
      </c>
      <c r="E90" s="317">
        <v>2000</v>
      </c>
      <c r="F90" s="278">
        <v>20</v>
      </c>
      <c r="G90" s="281">
        <v>1</v>
      </c>
      <c r="H90" s="318">
        <v>85</v>
      </c>
      <c r="I90" s="318">
        <f t="shared" si="51"/>
        <v>85</v>
      </c>
      <c r="J90" s="218">
        <f t="shared" si="53"/>
        <v>92000</v>
      </c>
      <c r="K90" s="219">
        <f t="shared" si="48"/>
        <v>92000</v>
      </c>
      <c r="L90" s="220">
        <f t="shared" si="49"/>
        <v>156400</v>
      </c>
      <c r="M90" s="219">
        <f t="shared" si="50"/>
        <v>184000</v>
      </c>
    </row>
    <row r="91" spans="1:13" ht="25.5" x14ac:dyDescent="0.2">
      <c r="B91" s="115" t="s">
        <v>461</v>
      </c>
      <c r="C91" s="606" t="s">
        <v>714</v>
      </c>
      <c r="D91" s="605" t="s">
        <v>712</v>
      </c>
      <c r="E91" s="317">
        <v>3000</v>
      </c>
      <c r="F91" s="278">
        <v>15</v>
      </c>
      <c r="G91" s="281">
        <v>1</v>
      </c>
      <c r="H91" s="318">
        <v>54</v>
      </c>
      <c r="I91" s="318">
        <f>IF(G91=0,0,H91/G91)</f>
        <v>54</v>
      </c>
      <c r="J91" s="218">
        <f t="shared" si="53"/>
        <v>138000</v>
      </c>
      <c r="K91" s="219">
        <f t="shared" si="48"/>
        <v>230000</v>
      </c>
      <c r="L91" s="220">
        <f t="shared" si="49"/>
        <v>99360</v>
      </c>
      <c r="M91" s="219">
        <f t="shared" si="50"/>
        <v>368000</v>
      </c>
    </row>
    <row r="92" spans="1:13" x14ac:dyDescent="0.2">
      <c r="B92" s="115"/>
      <c r="C92" s="606"/>
      <c r="D92" s="125"/>
      <c r="E92" s="285"/>
      <c r="F92" s="291"/>
      <c r="G92" s="285"/>
      <c r="H92" s="286"/>
      <c r="I92" s="287"/>
      <c r="J92" s="209"/>
      <c r="K92" s="210"/>
      <c r="L92" s="211"/>
      <c r="M92" s="210"/>
    </row>
    <row r="93" spans="1:13" s="38" customFormat="1" x14ac:dyDescent="0.2">
      <c r="B93" s="116"/>
      <c r="C93" s="96"/>
      <c r="D93" s="128"/>
      <c r="E93" s="323"/>
      <c r="F93" s="324"/>
      <c r="G93" s="325"/>
      <c r="H93" s="326"/>
      <c r="I93" s="310"/>
      <c r="J93" s="221"/>
      <c r="K93" s="222"/>
      <c r="L93" s="223"/>
      <c r="M93" s="222"/>
    </row>
    <row r="94" spans="1:13" x14ac:dyDescent="0.2">
      <c r="B94" s="136" t="s">
        <v>170</v>
      </c>
      <c r="C94" s="137"/>
      <c r="D94" s="138"/>
      <c r="E94" s="319"/>
      <c r="F94" s="320"/>
      <c r="G94" s="321"/>
      <c r="H94" s="322"/>
      <c r="I94" s="309"/>
      <c r="J94" s="182"/>
      <c r="K94" s="199"/>
      <c r="L94" s="208"/>
      <c r="M94" s="199"/>
    </row>
    <row r="95" spans="1:13" ht="25.5" x14ac:dyDescent="0.2">
      <c r="B95" s="115" t="s">
        <v>168</v>
      </c>
      <c r="C95" s="606" t="s">
        <v>715</v>
      </c>
      <c r="D95" s="605" t="s">
        <v>136</v>
      </c>
      <c r="E95" s="402">
        <v>4500</v>
      </c>
      <c r="F95" s="403">
        <v>25</v>
      </c>
      <c r="G95" s="281">
        <v>5</v>
      </c>
      <c r="H95" s="318">
        <v>200</v>
      </c>
      <c r="I95" s="318">
        <f t="shared" ref="I95:I96" si="54">IF(G95=0,0,H95/G95)</f>
        <v>40</v>
      </c>
      <c r="J95" s="218">
        <f>IF(E95=0,0,E95*NB_Logement)</f>
        <v>207000</v>
      </c>
      <c r="K95" s="219">
        <f>IF(E95=0,0,IF((J95/F95)*amortissement-J95&lt;0,0,(J95/F95)*amortissement-J95))</f>
        <v>124200</v>
      </c>
      <c r="L95" s="220">
        <f>IF(I95=0,0,I95*NB_Logement*amortissement)</f>
        <v>73600</v>
      </c>
      <c r="M95" s="219">
        <f>IF(F95=0,0,J95/F95*amortissement)</f>
        <v>331200</v>
      </c>
    </row>
    <row r="96" spans="1:13" x14ac:dyDescent="0.2">
      <c r="B96" s="115" t="s">
        <v>169</v>
      </c>
      <c r="C96" s="606" t="s">
        <v>716</v>
      </c>
      <c r="D96" s="605" t="s">
        <v>135</v>
      </c>
      <c r="E96" s="402">
        <v>1800</v>
      </c>
      <c r="F96" s="403">
        <v>35</v>
      </c>
      <c r="G96" s="281">
        <v>10</v>
      </c>
      <c r="H96" s="318">
        <v>200</v>
      </c>
      <c r="I96" s="318">
        <f t="shared" si="54"/>
        <v>20</v>
      </c>
      <c r="J96" s="218">
        <f>IF(E96=0,0,E96*NB_Logement)</f>
        <v>82800</v>
      </c>
      <c r="K96" s="219">
        <f>IF(E96=0,0,IF((J96/F96)*amortissement-J96&lt;0,0,(J96/F96)*amortissement-J96))</f>
        <v>11828.571428571435</v>
      </c>
      <c r="L96" s="220">
        <f>IF(I96=0,0,I96*NB_Logement*amortissement)</f>
        <v>36800</v>
      </c>
      <c r="M96" s="219">
        <f>IF(F96=0,0,J96/F96*amortissement)</f>
        <v>94628.571428571435</v>
      </c>
    </row>
    <row r="97" spans="1:13" x14ac:dyDescent="0.2">
      <c r="B97" s="115"/>
      <c r="C97" s="95"/>
      <c r="D97" s="125"/>
      <c r="E97" s="230"/>
      <c r="F97" s="231"/>
      <c r="G97" s="285"/>
      <c r="H97" s="286"/>
      <c r="I97" s="287" t="str">
        <f t="shared" ref="I97" si="55">IF(G97="","",H97/G97)</f>
        <v/>
      </c>
      <c r="J97" s="209"/>
      <c r="K97" s="210" t="str">
        <f>IF(E97=0,"",IF((J97/F97)*amortissement-J97&lt;0,0,(J97/F97)*amortissement-J97))</f>
        <v/>
      </c>
      <c r="L97" s="211" t="str">
        <f>IF(I97="","",'BATI-EQUIPEMENTS'!#REF!*'BD_BATI-EQUIPEMENTS'!I97)</f>
        <v/>
      </c>
      <c r="M97" s="210" t="str">
        <f>IF(G97=0,"",IF((L97/H97)*amortissement-L97&lt;0,0,(L97/H97)*amortissement-L97))</f>
        <v/>
      </c>
    </row>
    <row r="98" spans="1:13" x14ac:dyDescent="0.2">
      <c r="B98" s="133" t="s">
        <v>171</v>
      </c>
      <c r="C98" s="134"/>
      <c r="D98" s="135"/>
      <c r="E98" s="232"/>
      <c r="F98" s="233"/>
      <c r="G98" s="300"/>
      <c r="H98" s="301"/>
      <c r="I98" s="288"/>
      <c r="J98" s="212"/>
      <c r="K98" s="213"/>
      <c r="L98" s="214"/>
      <c r="M98" s="213"/>
    </row>
    <row r="99" spans="1:13" ht="25.5" x14ac:dyDescent="0.2">
      <c r="B99" s="115" t="s">
        <v>167</v>
      </c>
      <c r="C99" s="606" t="s">
        <v>137</v>
      </c>
      <c r="D99" s="605" t="s">
        <v>138</v>
      </c>
      <c r="E99" s="407">
        <v>5000</v>
      </c>
      <c r="F99" s="403">
        <v>15</v>
      </c>
      <c r="G99" s="281">
        <v>1</v>
      </c>
      <c r="H99" s="327">
        <v>650</v>
      </c>
      <c r="I99" s="327">
        <f>IF(G99=0,0,H99/G99)</f>
        <v>650</v>
      </c>
      <c r="J99" s="218">
        <f>IF(E99=0,0,E99)</f>
        <v>5000</v>
      </c>
      <c r="K99" s="219">
        <f>IF(E99=0,0,IF((J99/F99)*amortissement-J99&lt;0,0,(J99/F99)*amortissement-J99))</f>
        <v>8333.3333333333321</v>
      </c>
      <c r="L99" s="220">
        <f>IF(I99=0,0,I99*amortissement)</f>
        <v>26000</v>
      </c>
      <c r="M99" s="219">
        <f>IF(F99=0,0,J99/F99*amortissement)</f>
        <v>13333.333333333332</v>
      </c>
    </row>
    <row r="100" spans="1:13" ht="25.5" x14ac:dyDescent="0.2">
      <c r="B100" s="115" t="s">
        <v>166</v>
      </c>
      <c r="C100" s="608" t="s">
        <v>139</v>
      </c>
      <c r="D100" s="605" t="s">
        <v>238</v>
      </c>
      <c r="E100" s="407">
        <v>10000</v>
      </c>
      <c r="F100" s="403">
        <v>15</v>
      </c>
      <c r="G100" s="281">
        <v>1</v>
      </c>
      <c r="H100" s="327">
        <v>650</v>
      </c>
      <c r="I100" s="327">
        <f t="shared" ref="I100:I103" si="56">IF(G100=0,0,H100/G100)</f>
        <v>650</v>
      </c>
      <c r="J100" s="218">
        <f>IF(E100=0,0,E100)</f>
        <v>10000</v>
      </c>
      <c r="K100" s="219">
        <f>IF(E100=0,0,IF((J100/F100)*amortissement-J100&lt;0,0,(J100/F100)*amortissement-J100))</f>
        <v>16666.666666666664</v>
      </c>
      <c r="L100" s="220">
        <f>IF(I100=0,0,I100*amortissement)</f>
        <v>26000</v>
      </c>
      <c r="M100" s="219">
        <f>IF(F100=0,0,J100/F100*amortissement)</f>
        <v>26666.666666666664</v>
      </c>
    </row>
    <row r="101" spans="1:13" ht="25.5" x14ac:dyDescent="0.2">
      <c r="B101" s="115" t="s">
        <v>165</v>
      </c>
      <c r="C101" s="606" t="s">
        <v>238</v>
      </c>
      <c r="D101" s="609" t="s">
        <v>717</v>
      </c>
      <c r="E101" s="402">
        <v>150</v>
      </c>
      <c r="F101" s="403">
        <v>15</v>
      </c>
      <c r="G101" s="281">
        <v>1</v>
      </c>
      <c r="H101" s="318">
        <v>5</v>
      </c>
      <c r="I101" s="318">
        <f t="shared" si="56"/>
        <v>5</v>
      </c>
      <c r="J101" s="218">
        <f>IF(E101=0,0,E101*NB_Logement)</f>
        <v>6900</v>
      </c>
      <c r="K101" s="219">
        <f>IF(E101=0,0,IF((J101/F101)*amortissement-J101&lt;0,0,(J101/F101)*amortissement-J101))</f>
        <v>11500</v>
      </c>
      <c r="L101" s="220">
        <f>IF(I101=0,0,I101*NB_Logement*amortissement)</f>
        <v>9200</v>
      </c>
      <c r="M101" s="219">
        <f>IF(F101=0,0,J101/F101*amortissement)</f>
        <v>18400</v>
      </c>
    </row>
    <row r="102" spans="1:13" ht="25.5" x14ac:dyDescent="0.2">
      <c r="B102" s="115" t="s">
        <v>164</v>
      </c>
      <c r="C102" s="606" t="s">
        <v>238</v>
      </c>
      <c r="D102" s="609" t="s">
        <v>719</v>
      </c>
      <c r="E102" s="402">
        <v>250</v>
      </c>
      <c r="F102" s="403">
        <v>15</v>
      </c>
      <c r="G102" s="404">
        <v>0</v>
      </c>
      <c r="H102" s="405">
        <v>0</v>
      </c>
      <c r="I102" s="318">
        <f t="shared" si="56"/>
        <v>0</v>
      </c>
      <c r="J102" s="218">
        <f>IF(E102=0,0,E102*NB_Logement)</f>
        <v>11500</v>
      </c>
      <c r="K102" s="219">
        <f>IF(E102=0,0,IF((J102/F102)*amortissement-J102&lt;0,0,(J102/F102)*amortissement-J102))</f>
        <v>19166.666666666664</v>
      </c>
      <c r="L102" s="220">
        <f>IF(I102=0,0,I102*NB_Logement*amortissement)</f>
        <v>0</v>
      </c>
      <c r="M102" s="219">
        <f>IF(F102=0,0,J102/F102*amortissement)</f>
        <v>30666.666666666664</v>
      </c>
    </row>
    <row r="103" spans="1:13" x14ac:dyDescent="0.2">
      <c r="B103" s="115" t="s">
        <v>642</v>
      </c>
      <c r="C103" s="606" t="s">
        <v>238</v>
      </c>
      <c r="D103" s="605" t="s">
        <v>238</v>
      </c>
      <c r="E103" s="402">
        <v>350</v>
      </c>
      <c r="F103" s="403">
        <v>15</v>
      </c>
      <c r="G103" s="404">
        <v>0</v>
      </c>
      <c r="H103" s="405">
        <v>0</v>
      </c>
      <c r="I103" s="318">
        <f t="shared" si="56"/>
        <v>0</v>
      </c>
      <c r="J103" s="218">
        <f>IF(E103=0,0,E103*NB_Logement)</f>
        <v>16100</v>
      </c>
      <c r="K103" s="219">
        <f>IF(E103=0,0,IF((J103/F103)*amortissement-J103&lt;0,0,(J103/F103)*amortissement-J103))</f>
        <v>26833.333333333328</v>
      </c>
      <c r="L103" s="220">
        <f>IF(I103=0,0,I103*NB_Logement*amortissement)</f>
        <v>0</v>
      </c>
      <c r="M103" s="219">
        <f>IF(F103=0,0,J103/F103*amortissement)</f>
        <v>42933.333333333328</v>
      </c>
    </row>
    <row r="104" spans="1:13" x14ac:dyDescent="0.2">
      <c r="A104" s="35"/>
      <c r="B104" s="117"/>
      <c r="C104" s="35"/>
      <c r="D104" s="126"/>
      <c r="E104" s="188"/>
      <c r="F104" s="189"/>
      <c r="G104" s="188"/>
      <c r="H104" s="202"/>
      <c r="I104" s="299"/>
      <c r="J104" s="215"/>
      <c r="K104" s="216"/>
      <c r="L104" s="217"/>
      <c r="M104" s="216"/>
    </row>
    <row r="105" spans="1:13" s="31" customFormat="1" ht="38.25" x14ac:dyDescent="0.2">
      <c r="A105" s="363"/>
      <c r="B105" s="143" t="s">
        <v>36</v>
      </c>
      <c r="C105" s="364" t="str">
        <f>C$13</f>
        <v>Commentaires</v>
      </c>
      <c r="D105" s="365" t="s">
        <v>147</v>
      </c>
      <c r="E105" s="355" t="s">
        <v>335</v>
      </c>
      <c r="F105" s="356" t="s">
        <v>321</v>
      </c>
      <c r="G105" s="357" t="s">
        <v>336</v>
      </c>
      <c r="H105" s="358" t="s">
        <v>334</v>
      </c>
      <c r="I105" s="359" t="s">
        <v>322</v>
      </c>
      <c r="J105" s="360" t="s">
        <v>483</v>
      </c>
      <c r="K105" s="361" t="s">
        <v>494</v>
      </c>
      <c r="L105" s="362" t="s">
        <v>482</v>
      </c>
      <c r="M105" s="361" t="s">
        <v>495</v>
      </c>
    </row>
    <row r="106" spans="1:13" x14ac:dyDescent="0.2">
      <c r="B106" s="136" t="s">
        <v>480</v>
      </c>
      <c r="C106" s="137"/>
      <c r="D106" s="138"/>
      <c r="E106" s="190"/>
      <c r="F106" s="191"/>
      <c r="G106" s="190"/>
      <c r="H106" s="203"/>
      <c r="I106" s="309"/>
      <c r="J106" s="182"/>
      <c r="K106" s="199"/>
      <c r="L106" s="208"/>
      <c r="M106" s="199"/>
    </row>
    <row r="107" spans="1:13" ht="25.5" x14ac:dyDescent="0.2">
      <c r="B107" s="115" t="s">
        <v>463</v>
      </c>
      <c r="C107" s="606" t="s">
        <v>721</v>
      </c>
      <c r="D107" s="609" t="s">
        <v>720</v>
      </c>
      <c r="E107" s="401">
        <v>5000</v>
      </c>
      <c r="F107" s="278">
        <v>30</v>
      </c>
      <c r="G107" s="404">
        <v>1</v>
      </c>
      <c r="H107" s="407">
        <v>0</v>
      </c>
      <c r="I107" s="327">
        <f>IF(G107=0,0,H107/G107)</f>
        <v>0</v>
      </c>
      <c r="J107" s="218">
        <f>IF(E107=0,0,E107)</f>
        <v>5000</v>
      </c>
      <c r="K107" s="219">
        <f t="shared" ref="K107:K117" si="57">IF(E107=0,0,IF((J107/F107)*amortissement-J107&lt;0,0,(J107/F107)*amortissement-J107))</f>
        <v>1666.6666666666661</v>
      </c>
      <c r="L107" s="220">
        <f t="shared" ref="L107:L113" si="58">IF(I107=0,0,I107*amortissement)</f>
        <v>0</v>
      </c>
      <c r="M107" s="219">
        <f t="shared" ref="M107:M118" si="59">IF(F107=0,0,J107/F107*amortissement)</f>
        <v>6666.6666666666661</v>
      </c>
    </row>
    <row r="108" spans="1:13" ht="25.5" x14ac:dyDescent="0.2">
      <c r="B108" s="115" t="s">
        <v>457</v>
      </c>
      <c r="C108" s="606" t="s">
        <v>238</v>
      </c>
      <c r="D108" s="605" t="s">
        <v>720</v>
      </c>
      <c r="E108" s="401">
        <v>5000</v>
      </c>
      <c r="F108" s="278">
        <v>30</v>
      </c>
      <c r="G108" s="281">
        <v>1</v>
      </c>
      <c r="H108" s="318"/>
      <c r="I108" s="318">
        <f t="shared" ref="I108" si="60">IF(G108=0,0,H108/G108)</f>
        <v>0</v>
      </c>
      <c r="J108" s="218">
        <f t="shared" ref="J108" si="61">IF(E108=0,0,E108)</f>
        <v>5000</v>
      </c>
      <c r="K108" s="219">
        <f t="shared" si="57"/>
        <v>1666.6666666666661</v>
      </c>
      <c r="L108" s="220">
        <f>IF(I108=0,0,I108*amortissement)</f>
        <v>0</v>
      </c>
      <c r="M108" s="219">
        <f t="shared" si="59"/>
        <v>6666.6666666666661</v>
      </c>
    </row>
    <row r="109" spans="1:13" ht="25.5" x14ac:dyDescent="0.2">
      <c r="B109" s="115" t="s">
        <v>462</v>
      </c>
      <c r="C109" s="606" t="s">
        <v>238</v>
      </c>
      <c r="D109" s="609" t="s">
        <v>720</v>
      </c>
      <c r="E109" s="401">
        <v>5000</v>
      </c>
      <c r="F109" s="278">
        <v>30</v>
      </c>
      <c r="G109" s="404">
        <v>1</v>
      </c>
      <c r="H109" s="407">
        <v>0</v>
      </c>
      <c r="I109" s="327">
        <f t="shared" ref="I109:I117" si="62">IF(G109=0,0,H109/G109)</f>
        <v>0</v>
      </c>
      <c r="J109" s="218">
        <f t="shared" ref="J109:J111" si="63">IF(E109=0,0,E109)</f>
        <v>5000</v>
      </c>
      <c r="K109" s="219">
        <f t="shared" si="57"/>
        <v>1666.6666666666661</v>
      </c>
      <c r="L109" s="220">
        <f>IF(I109=0,0,I109*amortissement)</f>
        <v>0</v>
      </c>
      <c r="M109" s="219">
        <f t="shared" si="59"/>
        <v>6666.6666666666661</v>
      </c>
    </row>
    <row r="110" spans="1:13" ht="25.5" x14ac:dyDescent="0.2">
      <c r="B110" s="115" t="s">
        <v>464</v>
      </c>
      <c r="C110" s="606" t="s">
        <v>238</v>
      </c>
      <c r="D110" s="609" t="s">
        <v>720</v>
      </c>
      <c r="E110" s="401">
        <v>5000</v>
      </c>
      <c r="F110" s="278">
        <v>30</v>
      </c>
      <c r="G110" s="404">
        <v>1</v>
      </c>
      <c r="H110" s="407">
        <v>0</v>
      </c>
      <c r="I110" s="327">
        <f t="shared" si="62"/>
        <v>0</v>
      </c>
      <c r="J110" s="218">
        <f t="shared" si="63"/>
        <v>5000</v>
      </c>
      <c r="K110" s="219">
        <f t="shared" si="57"/>
        <v>1666.6666666666661</v>
      </c>
      <c r="L110" s="220">
        <f t="shared" si="58"/>
        <v>0</v>
      </c>
      <c r="M110" s="219">
        <f t="shared" si="59"/>
        <v>6666.6666666666661</v>
      </c>
    </row>
    <row r="111" spans="1:13" ht="25.5" x14ac:dyDescent="0.2">
      <c r="B111" s="115" t="s">
        <v>467</v>
      </c>
      <c r="C111" s="606" t="s">
        <v>238</v>
      </c>
      <c r="D111" s="609" t="s">
        <v>720</v>
      </c>
      <c r="E111" s="401">
        <v>5000</v>
      </c>
      <c r="F111" s="278">
        <v>30</v>
      </c>
      <c r="G111" s="404">
        <v>1</v>
      </c>
      <c r="H111" s="407">
        <v>0</v>
      </c>
      <c r="I111" s="327">
        <f t="shared" si="62"/>
        <v>0</v>
      </c>
      <c r="J111" s="218">
        <f t="shared" si="63"/>
        <v>5000</v>
      </c>
      <c r="K111" s="219">
        <f t="shared" si="57"/>
        <v>1666.6666666666661</v>
      </c>
      <c r="L111" s="220">
        <f t="shared" si="58"/>
        <v>0</v>
      </c>
      <c r="M111" s="219">
        <f t="shared" si="59"/>
        <v>6666.6666666666661</v>
      </c>
    </row>
    <row r="112" spans="1:13" ht="51" x14ac:dyDescent="0.2">
      <c r="B112" s="115" t="s">
        <v>469</v>
      </c>
      <c r="C112" s="608" t="s">
        <v>722</v>
      </c>
      <c r="D112" s="609" t="s">
        <v>723</v>
      </c>
      <c r="E112" s="409">
        <v>1300</v>
      </c>
      <c r="F112" s="278">
        <v>30</v>
      </c>
      <c r="G112" s="281">
        <v>1</v>
      </c>
      <c r="H112" s="327">
        <v>80</v>
      </c>
      <c r="I112" s="327">
        <f t="shared" si="62"/>
        <v>80</v>
      </c>
      <c r="J112" s="218">
        <f t="shared" ref="J112:J117" si="64">IF(E112=0,0,E112*NB_Logement)</f>
        <v>59800</v>
      </c>
      <c r="K112" s="219">
        <f t="shared" si="57"/>
        <v>19933.333333333328</v>
      </c>
      <c r="L112" s="220">
        <f t="shared" si="58"/>
        <v>3200</v>
      </c>
      <c r="M112" s="219">
        <f t="shared" si="59"/>
        <v>79733.333333333328</v>
      </c>
    </row>
    <row r="113" spans="1:13" ht="51" x14ac:dyDescent="0.2">
      <c r="B113" s="115" t="s">
        <v>468</v>
      </c>
      <c r="C113" s="608" t="s">
        <v>722</v>
      </c>
      <c r="D113" s="609" t="s">
        <v>723</v>
      </c>
      <c r="E113" s="409">
        <v>1500</v>
      </c>
      <c r="F113" s="278">
        <v>30</v>
      </c>
      <c r="G113" s="281">
        <v>1</v>
      </c>
      <c r="H113" s="327">
        <v>80</v>
      </c>
      <c r="I113" s="327">
        <f t="shared" si="62"/>
        <v>80</v>
      </c>
      <c r="J113" s="218">
        <f t="shared" si="64"/>
        <v>69000</v>
      </c>
      <c r="K113" s="219">
        <f t="shared" si="57"/>
        <v>23000</v>
      </c>
      <c r="L113" s="220">
        <f t="shared" si="58"/>
        <v>3200</v>
      </c>
      <c r="M113" s="219">
        <f t="shared" si="59"/>
        <v>92000</v>
      </c>
    </row>
    <row r="114" spans="1:13" ht="38.25" x14ac:dyDescent="0.2">
      <c r="B114" s="115" t="s">
        <v>471</v>
      </c>
      <c r="C114" s="608" t="s">
        <v>140</v>
      </c>
      <c r="D114" s="609" t="s">
        <v>724</v>
      </c>
      <c r="E114" s="317">
        <v>500</v>
      </c>
      <c r="F114" s="278">
        <v>10</v>
      </c>
      <c r="G114" s="404">
        <v>0</v>
      </c>
      <c r="H114" s="405">
        <v>0</v>
      </c>
      <c r="I114" s="318">
        <f t="shared" si="62"/>
        <v>0</v>
      </c>
      <c r="J114" s="218">
        <f t="shared" si="64"/>
        <v>23000</v>
      </c>
      <c r="K114" s="219">
        <f t="shared" si="57"/>
        <v>69000</v>
      </c>
      <c r="L114" s="220">
        <f>IF(I114=0,0,I114*NB_Logement*amortissement)</f>
        <v>0</v>
      </c>
      <c r="M114" s="219">
        <f t="shared" si="59"/>
        <v>92000</v>
      </c>
    </row>
    <row r="115" spans="1:13" ht="25.5" x14ac:dyDescent="0.2">
      <c r="B115" s="115" t="s">
        <v>472</v>
      </c>
      <c r="C115" s="606" t="s">
        <v>238</v>
      </c>
      <c r="D115" s="605" t="s">
        <v>725</v>
      </c>
      <c r="E115" s="317">
        <v>1200</v>
      </c>
      <c r="F115" s="278">
        <v>20</v>
      </c>
      <c r="G115" s="404">
        <v>1</v>
      </c>
      <c r="H115" s="405">
        <v>15</v>
      </c>
      <c r="I115" s="318">
        <f t="shared" si="62"/>
        <v>15</v>
      </c>
      <c r="J115" s="218">
        <f t="shared" si="64"/>
        <v>55200</v>
      </c>
      <c r="K115" s="219">
        <f t="shared" si="57"/>
        <v>55200</v>
      </c>
      <c r="L115" s="220">
        <f>IF(I115=0,0,I115*NB_Logement*amortissement)</f>
        <v>27600</v>
      </c>
      <c r="M115" s="219">
        <f t="shared" si="59"/>
        <v>110400</v>
      </c>
    </row>
    <row r="116" spans="1:13" ht="25.5" x14ac:dyDescent="0.2">
      <c r="B116" s="115" t="s">
        <v>473</v>
      </c>
      <c r="C116" s="606" t="s">
        <v>238</v>
      </c>
      <c r="D116" s="605" t="s">
        <v>725</v>
      </c>
      <c r="E116" s="317">
        <v>1200</v>
      </c>
      <c r="F116" s="278">
        <v>20</v>
      </c>
      <c r="G116" s="404">
        <v>1</v>
      </c>
      <c r="H116" s="405">
        <v>15</v>
      </c>
      <c r="I116" s="318">
        <f t="shared" si="62"/>
        <v>15</v>
      </c>
      <c r="J116" s="218">
        <f t="shared" si="64"/>
        <v>55200</v>
      </c>
      <c r="K116" s="219">
        <f t="shared" si="57"/>
        <v>55200</v>
      </c>
      <c r="L116" s="220">
        <f>IF(I116=0,0,I116*NB_Logement*amortissement)</f>
        <v>27600</v>
      </c>
      <c r="M116" s="219">
        <f t="shared" si="59"/>
        <v>110400</v>
      </c>
    </row>
    <row r="117" spans="1:13" ht="25.5" x14ac:dyDescent="0.2">
      <c r="B117" s="115" t="s">
        <v>470</v>
      </c>
      <c r="C117" s="608" t="s">
        <v>726</v>
      </c>
      <c r="D117" s="609" t="s">
        <v>727</v>
      </c>
      <c r="E117" s="317">
        <v>4500</v>
      </c>
      <c r="F117" s="278">
        <v>10</v>
      </c>
      <c r="G117" s="281">
        <v>1</v>
      </c>
      <c r="H117" s="318">
        <v>10</v>
      </c>
      <c r="I117" s="318">
        <f t="shared" si="62"/>
        <v>10</v>
      </c>
      <c r="J117" s="218">
        <f t="shared" si="64"/>
        <v>207000</v>
      </c>
      <c r="K117" s="219">
        <f t="shared" si="57"/>
        <v>621000</v>
      </c>
      <c r="L117" s="220">
        <f>IF(I117=0,0,I117*NB_Logement*amortissement)</f>
        <v>18400</v>
      </c>
      <c r="M117" s="219">
        <f t="shared" si="59"/>
        <v>828000</v>
      </c>
    </row>
    <row r="118" spans="1:13" x14ac:dyDescent="0.2">
      <c r="B118" s="115"/>
      <c r="C118" s="97"/>
      <c r="D118" s="127"/>
      <c r="E118" s="285"/>
      <c r="F118" s="291"/>
      <c r="G118" s="281"/>
      <c r="H118" s="286"/>
      <c r="I118" s="287"/>
      <c r="J118" s="218"/>
      <c r="K118" s="219"/>
      <c r="L118" s="220"/>
      <c r="M118" s="219">
        <f t="shared" si="59"/>
        <v>0</v>
      </c>
    </row>
    <row r="119" spans="1:13" x14ac:dyDescent="0.2">
      <c r="B119" s="33"/>
      <c r="C119" s="44"/>
      <c r="D119" s="269"/>
      <c r="E119" s="292"/>
      <c r="F119" s="293"/>
      <c r="G119" s="292"/>
      <c r="H119" s="294"/>
      <c r="I119" s="295"/>
      <c r="J119" s="227"/>
      <c r="K119" s="228"/>
      <c r="L119" s="229"/>
      <c r="M119" s="228"/>
    </row>
    <row r="120" spans="1:13" x14ac:dyDescent="0.2">
      <c r="A120" s="35"/>
      <c r="B120" s="117"/>
      <c r="C120" s="270"/>
      <c r="D120" s="271"/>
      <c r="E120" s="296"/>
      <c r="F120" s="297"/>
      <c r="G120" s="296"/>
      <c r="H120" s="298"/>
      <c r="I120" s="299"/>
      <c r="J120" s="215"/>
      <c r="K120" s="216"/>
      <c r="L120" s="217"/>
      <c r="M120" s="216"/>
    </row>
    <row r="121" spans="1:13" s="31" customFormat="1" ht="38.25" x14ac:dyDescent="0.2">
      <c r="A121" s="363"/>
      <c r="B121" s="143" t="s">
        <v>53</v>
      </c>
      <c r="C121" s="364" t="str">
        <f>C$13</f>
        <v>Commentaires</v>
      </c>
      <c r="D121" s="365" t="s">
        <v>147</v>
      </c>
      <c r="E121" s="355" t="s">
        <v>335</v>
      </c>
      <c r="F121" s="356" t="s">
        <v>321</v>
      </c>
      <c r="G121" s="357" t="s">
        <v>336</v>
      </c>
      <c r="H121" s="358" t="s">
        <v>334</v>
      </c>
      <c r="I121" s="359" t="s">
        <v>322</v>
      </c>
      <c r="J121" s="360" t="s">
        <v>483</v>
      </c>
      <c r="K121" s="361" t="s">
        <v>494</v>
      </c>
      <c r="L121" s="362" t="s">
        <v>482</v>
      </c>
      <c r="M121" s="361" t="s">
        <v>495</v>
      </c>
    </row>
    <row r="122" spans="1:13" x14ac:dyDescent="0.2">
      <c r="B122" s="136" t="s">
        <v>481</v>
      </c>
      <c r="C122" s="289"/>
      <c r="D122" s="290"/>
      <c r="E122" s="190"/>
      <c r="F122" s="191"/>
      <c r="G122" s="190"/>
      <c r="H122" s="203"/>
      <c r="I122" s="309"/>
      <c r="J122" s="182"/>
      <c r="K122" s="199"/>
      <c r="L122" s="208"/>
      <c r="M122" s="199"/>
    </row>
    <row r="123" spans="1:13" ht="38.25" x14ac:dyDescent="0.2">
      <c r="B123" s="115" t="s">
        <v>728</v>
      </c>
      <c r="C123" s="608" t="s">
        <v>729</v>
      </c>
      <c r="D123" s="609" t="s">
        <v>142</v>
      </c>
      <c r="E123" s="410">
        <v>25</v>
      </c>
      <c r="F123" s="278">
        <v>25</v>
      </c>
      <c r="G123" s="281">
        <v>1</v>
      </c>
      <c r="H123" s="327">
        <v>1200</v>
      </c>
      <c r="I123" s="327">
        <f>IF(G123=0,0,H123/G123)</f>
        <v>1200</v>
      </c>
      <c r="J123" s="218">
        <f>IF(E123=0,0,E123*SHAB)</f>
        <v>68750</v>
      </c>
      <c r="K123" s="219">
        <f t="shared" ref="K123:K128" si="65">IF(E123=0,0,IF((J123/F123)*amortissement-J123&lt;0,0,(J123/F123)*amortissement-J123))</f>
        <v>41250</v>
      </c>
      <c r="L123" s="220">
        <f>IF(I123=0,0,I123*amortissement)</f>
        <v>48000</v>
      </c>
      <c r="M123" s="219">
        <f t="shared" ref="M123:M128" si="66">IF(F123=0,0,J123/F123*amortissement)</f>
        <v>110000</v>
      </c>
    </row>
    <row r="124" spans="1:13" ht="25.5" x14ac:dyDescent="0.2">
      <c r="B124" s="115" t="s">
        <v>476</v>
      </c>
      <c r="C124" s="608" t="s">
        <v>729</v>
      </c>
      <c r="D124" s="609" t="s">
        <v>731</v>
      </c>
      <c r="E124" s="410">
        <v>2</v>
      </c>
      <c r="F124" s="278">
        <v>25</v>
      </c>
      <c r="G124" s="281">
        <v>1</v>
      </c>
      <c r="H124" s="327">
        <v>1200</v>
      </c>
      <c r="I124" s="327">
        <f>IF(G124=0,0,H124/G124)</f>
        <v>1200</v>
      </c>
      <c r="J124" s="218">
        <f>IF(E124=0,0,E124*SHAB)</f>
        <v>5500</v>
      </c>
      <c r="K124" s="219">
        <f t="shared" si="65"/>
        <v>3300</v>
      </c>
      <c r="L124" s="220">
        <f>IF(I124=0,0,I124*amortissement)</f>
        <v>48000</v>
      </c>
      <c r="M124" s="219">
        <f t="shared" si="66"/>
        <v>8800</v>
      </c>
    </row>
    <row r="125" spans="1:13" ht="38.25" x14ac:dyDescent="0.2">
      <c r="B125" s="115" t="s">
        <v>511</v>
      </c>
      <c r="C125" s="608" t="s">
        <v>730</v>
      </c>
      <c r="D125" s="609" t="s">
        <v>142</v>
      </c>
      <c r="E125" s="410">
        <v>35</v>
      </c>
      <c r="F125" s="278">
        <v>25</v>
      </c>
      <c r="G125" s="281">
        <v>1</v>
      </c>
      <c r="H125" s="327">
        <v>1200</v>
      </c>
      <c r="I125" s="327">
        <f>IF(G125=0,0,H125/G125)</f>
        <v>1200</v>
      </c>
      <c r="J125" s="218">
        <f>IF(E125=0,0,E125*SHAB)</f>
        <v>96250</v>
      </c>
      <c r="K125" s="219">
        <f t="shared" si="65"/>
        <v>57750</v>
      </c>
      <c r="L125" s="220">
        <f>IF(I125=0,0,I125*amortissement)</f>
        <v>48000</v>
      </c>
      <c r="M125" s="219">
        <f t="shared" si="66"/>
        <v>154000</v>
      </c>
    </row>
    <row r="126" spans="1:13" ht="38.25" x14ac:dyDescent="0.2">
      <c r="B126" s="115" t="s">
        <v>477</v>
      </c>
      <c r="C126" s="608" t="s">
        <v>732</v>
      </c>
      <c r="D126" s="609" t="s">
        <v>142</v>
      </c>
      <c r="E126" s="317">
        <v>4000</v>
      </c>
      <c r="F126" s="278">
        <v>10</v>
      </c>
      <c r="G126" s="281">
        <v>1</v>
      </c>
      <c r="H126" s="318">
        <v>40</v>
      </c>
      <c r="I126" s="318">
        <f>IF(G126=0,0,H126/G126)</f>
        <v>40</v>
      </c>
      <c r="J126" s="218">
        <f>IF(E126=0,0,E126*NB_Logement)</f>
        <v>184000</v>
      </c>
      <c r="K126" s="219">
        <f t="shared" si="65"/>
        <v>552000</v>
      </c>
      <c r="L126" s="220">
        <f>IF(I126=0,0,I126*NB_Logement*amortissement)</f>
        <v>73600</v>
      </c>
      <c r="M126" s="219">
        <f t="shared" si="66"/>
        <v>736000</v>
      </c>
    </row>
    <row r="127" spans="1:13" ht="38.25" x14ac:dyDescent="0.2">
      <c r="B127" s="115" t="s">
        <v>474</v>
      </c>
      <c r="C127" s="608" t="s">
        <v>141</v>
      </c>
      <c r="D127" s="609" t="s">
        <v>142</v>
      </c>
      <c r="E127" s="317">
        <v>1500</v>
      </c>
      <c r="F127" s="278">
        <v>10</v>
      </c>
      <c r="G127" s="281">
        <v>1</v>
      </c>
      <c r="H127" s="318">
        <v>25</v>
      </c>
      <c r="I127" s="318">
        <f t="shared" ref="I127:I128" si="67">IF(G127=0,0,H127/G127)</f>
        <v>25</v>
      </c>
      <c r="J127" s="218">
        <f>IF(E127=0,0,E127*NB_Logement)</f>
        <v>69000</v>
      </c>
      <c r="K127" s="219">
        <f t="shared" si="65"/>
        <v>207000</v>
      </c>
      <c r="L127" s="220">
        <f>IF(I127=0,0,I127*NB_Logement*amortissement)</f>
        <v>46000</v>
      </c>
      <c r="M127" s="219">
        <f t="shared" si="66"/>
        <v>276000</v>
      </c>
    </row>
    <row r="128" spans="1:13" ht="38.25" x14ac:dyDescent="0.2">
      <c r="B128" s="115" t="s">
        <v>475</v>
      </c>
      <c r="C128" s="608" t="s">
        <v>733</v>
      </c>
      <c r="D128" s="609" t="s">
        <v>734</v>
      </c>
      <c r="E128" s="317">
        <v>0</v>
      </c>
      <c r="F128" s="278">
        <v>0</v>
      </c>
      <c r="G128" s="281">
        <v>1</v>
      </c>
      <c r="H128" s="318">
        <v>10</v>
      </c>
      <c r="I128" s="318">
        <f t="shared" si="67"/>
        <v>10</v>
      </c>
      <c r="J128" s="218">
        <f>IF(E128=0,0,E128*NB_Logement)</f>
        <v>0</v>
      </c>
      <c r="K128" s="219">
        <f t="shared" si="65"/>
        <v>0</v>
      </c>
      <c r="L128" s="220">
        <f>IF(I128=0,0,I128*NB_Logement*amortissement)</f>
        <v>18400</v>
      </c>
      <c r="M128" s="219">
        <f t="shared" si="66"/>
        <v>0</v>
      </c>
    </row>
    <row r="129" spans="2:13" x14ac:dyDescent="0.2">
      <c r="B129" s="33"/>
      <c r="C129" s="44"/>
      <c r="D129" s="269"/>
      <c r="E129" s="234"/>
      <c r="F129" s="235"/>
      <c r="G129" s="234"/>
      <c r="H129" s="236"/>
      <c r="I129" s="295"/>
      <c r="J129" s="227"/>
      <c r="K129" s="228"/>
      <c r="L129" s="229"/>
      <c r="M129" s="228"/>
    </row>
  </sheetData>
  <sheetProtection password="C434" sheet="1" objects="1" scenarios="1"/>
  <sortState ref="N107:N111">
    <sortCondition ref="N107"/>
  </sortState>
  <pageMargins left="0.23622047244094491" right="0.23622047244094491" top="0.74803149606299213" bottom="0.74803149606299213" header="0.31496062992125984" footer="0.31496062992125984"/>
  <pageSetup paperSize="8" fitToHeight="0" orientation="landscape" r:id="rId1"/>
  <headerFooter>
    <oddHeader>&amp;R&amp;D</oddHeader>
    <oddFooter>&amp;L&amp;F / &amp;A&amp;R&amp;P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5:I189"/>
  <sheetViews>
    <sheetView showGridLines="0" zoomScaleNormal="100" workbookViewId="0">
      <pane xSplit="2" ySplit="5" topLeftCell="C27" activePane="bottomRight" state="frozen"/>
      <selection activeCell="D36" sqref="D36:E36"/>
      <selection pane="topRight" activeCell="D36" sqref="D36:E36"/>
      <selection pane="bottomLeft" activeCell="D36" sqref="D36:E36"/>
      <selection pane="bottomRight" activeCell="B56" sqref="B56"/>
    </sheetView>
  </sheetViews>
  <sheetFormatPr baseColWidth="10" defaultColWidth="11" defaultRowHeight="12.75" x14ac:dyDescent="0.2"/>
  <cols>
    <col min="1" max="1" width="2.75" style="43" customWidth="1"/>
    <col min="2" max="2" width="40.625" style="43" customWidth="1"/>
    <col min="3" max="9" width="15.625" style="8" customWidth="1"/>
    <col min="10" max="10" width="11.25" style="8" bestFit="1" customWidth="1"/>
    <col min="11" max="16384" width="11" style="8"/>
  </cols>
  <sheetData>
    <row r="5" spans="1:9" s="632" customFormat="1" ht="16.5" thickBot="1" x14ac:dyDescent="0.25">
      <c r="A5" s="629"/>
      <c r="B5" s="630" t="s">
        <v>200</v>
      </c>
      <c r="C5" s="631"/>
      <c r="D5" s="629"/>
      <c r="E5" s="629"/>
      <c r="F5" s="629"/>
      <c r="G5" s="629"/>
      <c r="H5" s="629"/>
      <c r="I5" s="629"/>
    </row>
    <row r="6" spans="1:9" s="11" customFormat="1" x14ac:dyDescent="0.2">
      <c r="A6" s="61"/>
      <c r="B6" s="62"/>
      <c r="C6" s="86"/>
      <c r="D6" s="63"/>
      <c r="E6" s="63"/>
      <c r="F6" s="63"/>
      <c r="G6" s="63"/>
      <c r="H6" s="63"/>
      <c r="I6" s="63"/>
    </row>
    <row r="7" spans="1:9" s="11" customFormat="1" x14ac:dyDescent="0.2">
      <c r="A7" s="47"/>
      <c r="B7" s="389" t="s">
        <v>562</v>
      </c>
      <c r="C7" s="72"/>
      <c r="H7" s="9"/>
    </row>
    <row r="8" spans="1:9" s="11" customFormat="1" x14ac:dyDescent="0.2">
      <c r="A8" s="47"/>
      <c r="B8" s="58"/>
      <c r="C8" s="73" t="s">
        <v>30</v>
      </c>
      <c r="D8" s="16" t="s">
        <v>23</v>
      </c>
      <c r="E8" s="16" t="s">
        <v>24</v>
      </c>
      <c r="F8" s="16" t="s">
        <v>25</v>
      </c>
      <c r="G8" s="16" t="s">
        <v>26</v>
      </c>
      <c r="H8" s="16" t="s">
        <v>27</v>
      </c>
      <c r="I8" s="16" t="s">
        <v>50</v>
      </c>
    </row>
    <row r="9" spans="1:9" s="11" customFormat="1" x14ac:dyDescent="0.2">
      <c r="A9" s="47"/>
      <c r="B9" s="58" t="s">
        <v>311</v>
      </c>
      <c r="C9" s="74">
        <v>4.38</v>
      </c>
      <c r="D9" s="18">
        <f>C9</f>
        <v>4.38</v>
      </c>
      <c r="E9" s="18">
        <f>C9</f>
        <v>4.38</v>
      </c>
      <c r="F9" s="18">
        <f>C9</f>
        <v>4.38</v>
      </c>
      <c r="G9" s="18">
        <f>C9</f>
        <v>4.38</v>
      </c>
      <c r="H9" s="18">
        <f>C9</f>
        <v>4.38</v>
      </c>
      <c r="I9" s="17"/>
    </row>
    <row r="10" spans="1:9" s="11" customFormat="1" x14ac:dyDescent="0.2">
      <c r="A10" s="47"/>
      <c r="B10" s="58" t="s">
        <v>312</v>
      </c>
      <c r="C10" s="75"/>
      <c r="D10" s="19">
        <f>12*(D9*Nb_T1*Surf_T1)</f>
        <v>23651.999999999996</v>
      </c>
      <c r="E10" s="19">
        <f>12*(E9*Nb_T2*Surf_T2)</f>
        <v>21024</v>
      </c>
      <c r="F10" s="19">
        <f>12*(F9*Nb_T3*Surf_T3)</f>
        <v>37843.200000000004</v>
      </c>
      <c r="G10" s="19">
        <f>12*(G9*Nb_T4*Surf_T4)</f>
        <v>44150.400000000001</v>
      </c>
      <c r="H10" s="19">
        <f>12*(H9*Nb_T5*Surf_T5)</f>
        <v>17870.400000000001</v>
      </c>
      <c r="I10" s="19">
        <f>SUM(C10:H10)</f>
        <v>144540</v>
      </c>
    </row>
    <row r="11" spans="1:9" s="11" customFormat="1" x14ac:dyDescent="0.2">
      <c r="A11" s="47"/>
      <c r="B11" s="57"/>
      <c r="C11" s="72"/>
      <c r="H11" s="9"/>
    </row>
    <row r="12" spans="1:9" s="11" customFormat="1" x14ac:dyDescent="0.2">
      <c r="A12" s="47"/>
      <c r="B12" s="389" t="s">
        <v>563</v>
      </c>
      <c r="C12" s="72"/>
      <c r="H12" s="9"/>
    </row>
    <row r="13" spans="1:9" s="11" customFormat="1" x14ac:dyDescent="0.2">
      <c r="A13" s="47"/>
      <c r="B13" s="76" t="str">
        <f>CONCATENATE("Actualisation sur ",amortissement," ans")</f>
        <v>Actualisation sur 40 ans</v>
      </c>
      <c r="C13" s="73" t="s">
        <v>28</v>
      </c>
      <c r="D13" s="1"/>
      <c r="H13" s="9"/>
    </row>
    <row r="14" spans="1:9" s="11" customFormat="1" x14ac:dyDescent="0.2">
      <c r="A14" s="47"/>
      <c r="B14" s="76" t="s">
        <v>605</v>
      </c>
      <c r="C14" s="75">
        <f>ACTUALISATION!E14</f>
        <v>7213616.5712978495</v>
      </c>
      <c r="H14" s="9"/>
    </row>
    <row r="15" spans="1:9" s="11" customFormat="1" x14ac:dyDescent="0.2">
      <c r="A15" s="47"/>
      <c r="B15" s="57"/>
      <c r="C15" s="72"/>
      <c r="H15" s="9"/>
    </row>
    <row r="16" spans="1:9" s="11" customFormat="1" x14ac:dyDescent="0.2">
      <c r="A16" s="47"/>
      <c r="B16" s="389" t="s">
        <v>564</v>
      </c>
      <c r="C16" s="72"/>
      <c r="H16" s="9"/>
    </row>
    <row r="17" spans="1:9" s="11" customFormat="1" x14ac:dyDescent="0.2">
      <c r="A17" s="47"/>
      <c r="B17" s="59" t="s">
        <v>207</v>
      </c>
      <c r="C17" s="77">
        <v>825</v>
      </c>
      <c r="H17" s="9"/>
    </row>
    <row r="18" spans="1:9" s="11" customFormat="1" x14ac:dyDescent="0.2">
      <c r="A18" s="47"/>
      <c r="B18" s="59" t="s">
        <v>208</v>
      </c>
      <c r="C18" s="77">
        <v>2000</v>
      </c>
      <c r="D18" s="390" t="s">
        <v>607</v>
      </c>
      <c r="H18" s="9"/>
    </row>
    <row r="19" spans="1:9" s="11" customFormat="1" x14ac:dyDescent="0.2">
      <c r="A19" s="47"/>
      <c r="B19" s="59" t="s">
        <v>196</v>
      </c>
      <c r="C19" s="75">
        <f>SUM(C17:C18)</f>
        <v>2825</v>
      </c>
      <c r="H19" s="9"/>
    </row>
    <row r="20" spans="1:9" s="11" customFormat="1" x14ac:dyDescent="0.2">
      <c r="A20" s="47"/>
      <c r="B20" s="57"/>
      <c r="C20" s="72"/>
      <c r="H20" s="9"/>
    </row>
    <row r="21" spans="1:9" s="11" customFormat="1" x14ac:dyDescent="0.2">
      <c r="A21" s="47"/>
      <c r="B21" s="389" t="s">
        <v>565</v>
      </c>
      <c r="C21" s="411" t="s">
        <v>512</v>
      </c>
      <c r="D21" s="9"/>
      <c r="E21" s="9"/>
      <c r="F21" s="9"/>
      <c r="G21" s="9"/>
      <c r="H21" s="9"/>
    </row>
    <row r="22" spans="1:9" s="7" customFormat="1" x14ac:dyDescent="0.2">
      <c r="A22" s="47"/>
      <c r="B22" s="58"/>
      <c r="C22" s="78" t="s">
        <v>31</v>
      </c>
      <c r="D22" s="20" t="s">
        <v>23</v>
      </c>
      <c r="E22" s="20" t="s">
        <v>24</v>
      </c>
      <c r="F22" s="20" t="s">
        <v>25</v>
      </c>
      <c r="G22" s="20" t="s">
        <v>26</v>
      </c>
      <c r="H22" s="20" t="s">
        <v>27</v>
      </c>
      <c r="I22" s="20" t="s">
        <v>328</v>
      </c>
    </row>
    <row r="23" spans="1:9" s="7" customFormat="1" x14ac:dyDescent="0.2">
      <c r="A23" s="47"/>
      <c r="B23" s="58" t="s">
        <v>608</v>
      </c>
      <c r="C23" s="79"/>
      <c r="D23" s="21">
        <v>2.5000000000000001E-2</v>
      </c>
      <c r="E23" s="21">
        <f>D23</f>
        <v>2.5000000000000001E-2</v>
      </c>
      <c r="F23" s="21">
        <f>E23</f>
        <v>2.5000000000000001E-2</v>
      </c>
      <c r="G23" s="21">
        <f>F23</f>
        <v>2.5000000000000001E-2</v>
      </c>
      <c r="H23" s="21">
        <f>G23</f>
        <v>2.5000000000000001E-2</v>
      </c>
      <c r="I23" s="22">
        <f>AVERAGE(D23:H23)</f>
        <v>2.5000000000000001E-2</v>
      </c>
    </row>
    <row r="24" spans="1:9" s="11" customFormat="1" x14ac:dyDescent="0.2">
      <c r="A24" s="47"/>
      <c r="B24" s="58" t="s">
        <v>209</v>
      </c>
      <c r="C24" s="80" t="str">
        <f>IF(Nb_Global=0,"",C23/NB_Logement*Nb_Global)</f>
        <v/>
      </c>
      <c r="D24" s="22">
        <f>IF(Nb_T1=0,"",D23/NB_Logement*Nb_T1)</f>
        <v>5.434782608695652E-3</v>
      </c>
      <c r="E24" s="22">
        <f>IF(Nb_T2=0,"",E23/NB_Logement*Nb_T2)</f>
        <v>4.3478260869565218E-3</v>
      </c>
      <c r="F24" s="22">
        <f>IF(Nb_T3=0,"",F23/NB_Logement*Nb_T3)</f>
        <v>6.5217391304347831E-3</v>
      </c>
      <c r="G24" s="22">
        <f>IF(Nb_T4=0,"",G23/NB_Logement*Nb_T4)</f>
        <v>6.5217391304347831E-3</v>
      </c>
      <c r="H24" s="22">
        <f>IF(Nb_T5=0,"",H23/NB_Logement*Nb_T5)</f>
        <v>2.1739130434782609E-3</v>
      </c>
      <c r="I24" s="22">
        <f>SUM(C24:H24)</f>
        <v>2.5000000000000001E-2</v>
      </c>
    </row>
    <row r="25" spans="1:9" s="11" customFormat="1" x14ac:dyDescent="0.2">
      <c r="A25" s="47"/>
      <c r="B25" s="57"/>
      <c r="C25" s="72"/>
      <c r="D25" s="9"/>
      <c r="E25" s="9"/>
      <c r="F25" s="9"/>
      <c r="G25" s="9"/>
      <c r="H25" s="9"/>
    </row>
    <row r="26" spans="1:9" s="11" customFormat="1" x14ac:dyDescent="0.2">
      <c r="A26" s="47"/>
      <c r="B26" s="389" t="s">
        <v>566</v>
      </c>
      <c r="C26" s="411" t="s">
        <v>512</v>
      </c>
      <c r="D26" s="9"/>
      <c r="E26" s="9"/>
      <c r="F26" s="9"/>
      <c r="G26" s="9"/>
      <c r="H26" s="9"/>
    </row>
    <row r="27" spans="1:9" s="7" customFormat="1" x14ac:dyDescent="0.2">
      <c r="A27" s="47"/>
      <c r="B27" s="58"/>
      <c r="C27" s="78" t="s">
        <v>31</v>
      </c>
      <c r="D27" s="20" t="s">
        <v>23</v>
      </c>
      <c r="E27" s="20" t="s">
        <v>24</v>
      </c>
      <c r="F27" s="20" t="s">
        <v>25</v>
      </c>
      <c r="G27" s="20" t="s">
        <v>26</v>
      </c>
      <c r="H27" s="20" t="s">
        <v>27</v>
      </c>
      <c r="I27" s="20" t="s">
        <v>328</v>
      </c>
    </row>
    <row r="28" spans="1:9" s="7" customFormat="1" x14ac:dyDescent="0.2">
      <c r="A28" s="47"/>
      <c r="B28" s="58" t="s">
        <v>609</v>
      </c>
      <c r="C28" s="79"/>
      <c r="D28" s="21">
        <v>1.4999999999999999E-2</v>
      </c>
      <c r="E28" s="21">
        <f>D28</f>
        <v>1.4999999999999999E-2</v>
      </c>
      <c r="F28" s="21">
        <f>E28</f>
        <v>1.4999999999999999E-2</v>
      </c>
      <c r="G28" s="21">
        <f>F28</f>
        <v>1.4999999999999999E-2</v>
      </c>
      <c r="H28" s="21">
        <f>G28</f>
        <v>1.4999999999999999E-2</v>
      </c>
      <c r="I28" s="22">
        <f>AVERAGE(D28:H28)</f>
        <v>1.4999999999999999E-2</v>
      </c>
    </row>
    <row r="29" spans="1:9" s="11" customFormat="1" x14ac:dyDescent="0.2">
      <c r="A29" s="47"/>
      <c r="B29" s="58" t="s">
        <v>210</v>
      </c>
      <c r="C29" s="80" t="str">
        <f>IF(Nb_Global=0,"",C28/NB_Logement*Nb_Global)</f>
        <v/>
      </c>
      <c r="D29" s="22">
        <f>IF(Nb_T1=0,"",D28/NB_Logement*Nb_T1)</f>
        <v>3.2608695652173911E-3</v>
      </c>
      <c r="E29" s="22">
        <f>IF(Nb_T2=0,"",E28/NB_Logement*Nb_T2)</f>
        <v>2.6086956521739128E-3</v>
      </c>
      <c r="F29" s="22">
        <f>IF(Nb_T3=0,"",F28/NB_Logement*Nb_T3)</f>
        <v>3.913043478260869E-3</v>
      </c>
      <c r="G29" s="22">
        <f>IF(Nb_T4=0,"",G28/NB_Logement*Nb_T4)</f>
        <v>3.913043478260869E-3</v>
      </c>
      <c r="H29" s="22">
        <f>IF(Nb_T5=0,"",H28/NB_Logement*Nb_T5)</f>
        <v>1.3043478260869564E-3</v>
      </c>
      <c r="I29" s="22">
        <f>SUM(D29:H29)</f>
        <v>1.4999999999999999E-2</v>
      </c>
    </row>
    <row r="30" spans="1:9" s="11" customFormat="1" x14ac:dyDescent="0.2">
      <c r="A30" s="47"/>
      <c r="B30" s="57"/>
      <c r="H30" s="9"/>
    </row>
    <row r="31" spans="1:9" s="11" customFormat="1" x14ac:dyDescent="0.2">
      <c r="A31" s="47"/>
      <c r="B31" s="389" t="s">
        <v>567</v>
      </c>
      <c r="H31" s="9"/>
    </row>
    <row r="32" spans="1:9" s="11" customFormat="1" x14ac:dyDescent="0.2">
      <c r="A32" s="47"/>
      <c r="B32" s="58" t="s">
        <v>350</v>
      </c>
      <c r="C32" s="81" t="s">
        <v>179</v>
      </c>
      <c r="E32" s="15" t="s">
        <v>180</v>
      </c>
      <c r="G32" s="15" t="s">
        <v>181</v>
      </c>
      <c r="H32" s="9"/>
    </row>
    <row r="33" spans="1:8" s="11" customFormat="1" x14ac:dyDescent="0.2">
      <c r="A33" s="47"/>
      <c r="B33" s="239" t="s">
        <v>352</v>
      </c>
      <c r="C33" s="82">
        <v>2</v>
      </c>
      <c r="E33" s="55">
        <v>3.5</v>
      </c>
      <c r="G33" s="55">
        <f>E33</f>
        <v>3.5</v>
      </c>
      <c r="H33" s="53"/>
    </row>
    <row r="34" spans="1:8" s="11" customFormat="1" x14ac:dyDescent="0.2">
      <c r="A34" s="47"/>
      <c r="B34" s="239" t="s">
        <v>353</v>
      </c>
      <c r="C34" s="82">
        <v>2</v>
      </c>
      <c r="E34" s="55">
        <f t="shared" ref="E34:E35" si="0">C34</f>
        <v>2</v>
      </c>
      <c r="G34" s="55">
        <f t="shared" ref="G34:G36" si="1">E34</f>
        <v>2</v>
      </c>
      <c r="H34" s="9"/>
    </row>
    <row r="35" spans="1:8" s="11" customFormat="1" x14ac:dyDescent="0.2">
      <c r="A35" s="47"/>
      <c r="B35" s="239" t="s">
        <v>354</v>
      </c>
      <c r="C35" s="82">
        <v>2</v>
      </c>
      <c r="E35" s="55">
        <f t="shared" si="0"/>
        <v>2</v>
      </c>
      <c r="G35" s="55">
        <f t="shared" si="1"/>
        <v>2</v>
      </c>
      <c r="H35" s="9"/>
    </row>
    <row r="36" spans="1:8" s="11" customFormat="1" x14ac:dyDescent="0.2">
      <c r="A36" s="47"/>
      <c r="B36" s="239" t="s">
        <v>355</v>
      </c>
      <c r="C36" s="82">
        <v>2</v>
      </c>
      <c r="E36" s="55">
        <v>3.5</v>
      </c>
      <c r="G36" s="55">
        <f t="shared" si="1"/>
        <v>3.5</v>
      </c>
      <c r="H36" s="9"/>
    </row>
    <row r="37" spans="1:8" s="11" customFormat="1" ht="13.5" thickBot="1" x14ac:dyDescent="0.25">
      <c r="A37" s="47"/>
      <c r="B37" s="240" t="s">
        <v>356</v>
      </c>
      <c r="C37" s="241"/>
      <c r="D37" s="238"/>
      <c r="E37" s="242"/>
      <c r="F37" s="238"/>
      <c r="G37" s="242"/>
      <c r="H37" s="9"/>
    </row>
    <row r="38" spans="1:8" s="11" customFormat="1" ht="13.5" thickTop="1" x14ac:dyDescent="0.2">
      <c r="A38" s="47"/>
      <c r="B38" s="243" t="s">
        <v>351</v>
      </c>
      <c r="C38" s="244">
        <f>SUM(C33:C37)/((5-COUNTBLANK(C33:C37))*5)*20</f>
        <v>8</v>
      </c>
      <c r="D38" s="238"/>
      <c r="E38" s="245">
        <f>SUM(E33:E37)/((5-COUNTBLANK(E33:E37))*5)*20</f>
        <v>11</v>
      </c>
      <c r="F38" s="238"/>
      <c r="G38" s="245">
        <f>SUM(G33:G37)/((5-COUNTBLANK(G33:G37))*5)*20</f>
        <v>11</v>
      </c>
      <c r="H38" s="9"/>
    </row>
    <row r="39" spans="1:8" s="11" customFormat="1" x14ac:dyDescent="0.2">
      <c r="A39" s="47"/>
      <c r="B39" s="60"/>
      <c r="C39" s="72"/>
      <c r="H39" s="9"/>
    </row>
    <row r="40" spans="1:8" s="11" customFormat="1" x14ac:dyDescent="0.2">
      <c r="A40" s="47"/>
      <c r="B40" s="389" t="s">
        <v>568</v>
      </c>
      <c r="C40" s="72"/>
      <c r="H40" s="9"/>
    </row>
    <row r="41" spans="1:8" s="11" customFormat="1" x14ac:dyDescent="0.2">
      <c r="A41" s="47"/>
      <c r="B41" s="83"/>
      <c r="C41" s="81" t="s">
        <v>179</v>
      </c>
      <c r="E41" s="15" t="s">
        <v>180</v>
      </c>
      <c r="G41" s="15" t="s">
        <v>181</v>
      </c>
      <c r="H41" s="9"/>
    </row>
    <row r="42" spans="1:8" s="11" customFormat="1" x14ac:dyDescent="0.2">
      <c r="A42" s="47"/>
      <c r="B42" s="58" t="s">
        <v>610</v>
      </c>
      <c r="C42" s="84">
        <f>I24</f>
        <v>2.5000000000000001E-2</v>
      </c>
      <c r="E42" s="54">
        <f>$C$42-(E38-$C$38)*$C$42/20</f>
        <v>2.1250000000000002E-2</v>
      </c>
      <c r="G42" s="54">
        <f>$C$42-(G38-$C$38)*$C$42/20</f>
        <v>2.1250000000000002E-2</v>
      </c>
      <c r="H42" s="9"/>
    </row>
    <row r="43" spans="1:8" s="11" customFormat="1" x14ac:dyDescent="0.2">
      <c r="A43" s="47"/>
      <c r="B43" s="58" t="s">
        <v>611</v>
      </c>
      <c r="C43" s="84">
        <f>I29</f>
        <v>1.4999999999999999E-2</v>
      </c>
      <c r="E43" s="54">
        <f>$C$43-(E38-$C$38)*$C$43/20</f>
        <v>1.2749999999999999E-2</v>
      </c>
      <c r="G43" s="54">
        <f>$C$43-(G38-$C$38)*$C$43/20</f>
        <v>1.2749999999999999E-2</v>
      </c>
      <c r="H43" s="9"/>
    </row>
    <row r="44" spans="1:8" s="11" customFormat="1" x14ac:dyDescent="0.2">
      <c r="A44" s="47"/>
      <c r="B44" s="57"/>
      <c r="C44" s="72"/>
      <c r="H44" s="9"/>
    </row>
    <row r="45" spans="1:8" s="11" customFormat="1" x14ac:dyDescent="0.2">
      <c r="A45" s="47"/>
      <c r="B45" s="389" t="s">
        <v>569</v>
      </c>
      <c r="C45" s="72"/>
      <c r="D45" s="121"/>
      <c r="E45" s="121"/>
      <c r="F45" s="121"/>
      <c r="G45" s="237"/>
      <c r="H45" s="9"/>
    </row>
    <row r="46" spans="1:8" s="11" customFormat="1" x14ac:dyDescent="0.2">
      <c r="A46" s="47"/>
      <c r="B46" s="587"/>
      <c r="C46" s="445" t="s">
        <v>179</v>
      </c>
      <c r="D46" s="330"/>
      <c r="E46" s="2" t="s">
        <v>180</v>
      </c>
      <c r="F46" s="330"/>
      <c r="G46" s="2" t="s">
        <v>181</v>
      </c>
      <c r="H46" s="9"/>
    </row>
    <row r="47" spans="1:8" s="11" customFormat="1" x14ac:dyDescent="0.2">
      <c r="A47" s="47"/>
      <c r="B47" s="550" t="s">
        <v>309</v>
      </c>
      <c r="C47" s="446">
        <f>$C$19*C42*100</f>
        <v>7062.5</v>
      </c>
      <c r="D47" s="330"/>
      <c r="E47" s="447">
        <f>$C$19*E42*100</f>
        <v>6003.1250000000009</v>
      </c>
      <c r="F47" s="330"/>
      <c r="G47" s="447">
        <f>$C$19*G42*100</f>
        <v>6003.1250000000009</v>
      </c>
      <c r="H47" s="9"/>
    </row>
    <row r="48" spans="1:8" s="11" customFormat="1" x14ac:dyDescent="0.2">
      <c r="A48" s="47"/>
      <c r="B48" s="550" t="s">
        <v>310</v>
      </c>
      <c r="C48" s="446">
        <f>C43*$I$10</f>
        <v>2168.1</v>
      </c>
      <c r="D48" s="448"/>
      <c r="E48" s="447">
        <f>E43*$I$10</f>
        <v>1842.885</v>
      </c>
      <c r="F48" s="448"/>
      <c r="G48" s="447">
        <f>G43*$I$10</f>
        <v>1842.885</v>
      </c>
      <c r="H48" s="9"/>
    </row>
    <row r="49" spans="1:8" s="11" customFormat="1" x14ac:dyDescent="0.2">
      <c r="A49" s="47"/>
      <c r="B49" s="57"/>
      <c r="C49" s="85"/>
      <c r="E49" s="56"/>
      <c r="G49" s="56"/>
      <c r="H49" s="9"/>
    </row>
    <row r="50" spans="1:8" s="11" customFormat="1" x14ac:dyDescent="0.2">
      <c r="A50" s="47"/>
      <c r="B50" s="389" t="s">
        <v>749</v>
      </c>
      <c r="C50" s="72"/>
      <c r="D50" s="121"/>
      <c r="E50" s="121"/>
      <c r="F50" s="121"/>
      <c r="G50" s="237"/>
      <c r="H50" s="9"/>
    </row>
    <row r="51" spans="1:8" s="11" customFormat="1" x14ac:dyDescent="0.2">
      <c r="A51" s="47"/>
      <c r="B51" s="587"/>
      <c r="C51" s="445" t="s">
        <v>179</v>
      </c>
      <c r="D51" s="330"/>
      <c r="E51" s="2" t="s">
        <v>180</v>
      </c>
      <c r="F51" s="330"/>
      <c r="G51" s="2" t="s">
        <v>181</v>
      </c>
      <c r="H51" s="9"/>
    </row>
    <row r="52" spans="1:8" s="11" customFormat="1" x14ac:dyDescent="0.2">
      <c r="A52" s="47"/>
      <c r="B52" s="550" t="s">
        <v>758</v>
      </c>
      <c r="C52" s="446">
        <f>amortissement*C47</f>
        <v>282500</v>
      </c>
      <c r="D52" s="330"/>
      <c r="E52" s="447">
        <f>amortissement*E47</f>
        <v>240125.00000000003</v>
      </c>
      <c r="F52" s="330"/>
      <c r="G52" s="447">
        <f>amortissement*G47</f>
        <v>240125.00000000003</v>
      </c>
      <c r="H52" s="9"/>
    </row>
    <row r="53" spans="1:8" s="11" customFormat="1" x14ac:dyDescent="0.2">
      <c r="A53" s="47"/>
      <c r="B53" s="550" t="s">
        <v>759</v>
      </c>
      <c r="C53" s="446">
        <f>amortissement*C48</f>
        <v>86724</v>
      </c>
      <c r="D53" s="448"/>
      <c r="E53" s="447">
        <f>amortissement*E48</f>
        <v>73715.399999999994</v>
      </c>
      <c r="F53" s="448"/>
      <c r="G53" s="447">
        <f>amortissement*G48</f>
        <v>73715.399999999994</v>
      </c>
      <c r="H53" s="9"/>
    </row>
    <row r="54" spans="1:8" s="11" customFormat="1" x14ac:dyDescent="0.2">
      <c r="A54" s="47"/>
      <c r="B54" s="24"/>
      <c r="H54" s="9"/>
    </row>
    <row r="55" spans="1:8" s="11" customFormat="1" x14ac:dyDescent="0.2">
      <c r="A55" s="47"/>
    </row>
    <row r="56" spans="1:8" s="11" customFormat="1" x14ac:dyDescent="0.2">
      <c r="A56" s="47"/>
    </row>
    <row r="57" spans="1:8" s="11" customFormat="1" x14ac:dyDescent="0.2">
      <c r="A57" s="47"/>
    </row>
    <row r="58" spans="1:8" s="11" customFormat="1" x14ac:dyDescent="0.2">
      <c r="A58" s="47"/>
    </row>
    <row r="59" spans="1:8" s="11" customFormat="1" x14ac:dyDescent="0.2">
      <c r="A59" s="47"/>
    </row>
    <row r="60" spans="1:8" s="11" customFormat="1" x14ac:dyDescent="0.2">
      <c r="A60" s="47"/>
    </row>
    <row r="61" spans="1:8" s="11" customFormat="1" x14ac:dyDescent="0.2">
      <c r="A61" s="47"/>
    </row>
    <row r="62" spans="1:8" s="11" customFormat="1" x14ac:dyDescent="0.2">
      <c r="A62" s="47"/>
    </row>
    <row r="63" spans="1:8" s="11" customFormat="1" x14ac:dyDescent="0.2">
      <c r="A63" s="47"/>
    </row>
    <row r="64" spans="1:8" s="11" customFormat="1" x14ac:dyDescent="0.2">
      <c r="A64" s="47"/>
    </row>
    <row r="65" spans="1:1" s="11" customFormat="1" x14ac:dyDescent="0.2">
      <c r="A65" s="47"/>
    </row>
    <row r="66" spans="1:1" s="11" customFormat="1" x14ac:dyDescent="0.2">
      <c r="A66" s="47"/>
    </row>
    <row r="67" spans="1:1" s="11" customFormat="1" x14ac:dyDescent="0.2">
      <c r="A67" s="47"/>
    </row>
    <row r="68" spans="1:1" s="11" customFormat="1" x14ac:dyDescent="0.2">
      <c r="A68" s="47"/>
    </row>
    <row r="69" spans="1:1" s="11" customFormat="1" x14ac:dyDescent="0.2">
      <c r="A69" s="47"/>
    </row>
    <row r="70" spans="1:1" s="11" customFormat="1" x14ac:dyDescent="0.2">
      <c r="A70" s="47"/>
    </row>
    <row r="71" spans="1:1" s="11" customFormat="1" x14ac:dyDescent="0.2">
      <c r="A71" s="47"/>
    </row>
    <row r="72" spans="1:1" s="11" customFormat="1" x14ac:dyDescent="0.2">
      <c r="A72" s="47"/>
    </row>
    <row r="73" spans="1:1" s="11" customFormat="1" x14ac:dyDescent="0.2">
      <c r="A73" s="47"/>
    </row>
    <row r="74" spans="1:1" s="11" customFormat="1" x14ac:dyDescent="0.2">
      <c r="A74" s="47"/>
    </row>
    <row r="75" spans="1:1" s="11" customFormat="1" x14ac:dyDescent="0.2">
      <c r="A75" s="47"/>
    </row>
    <row r="76" spans="1:1" s="11" customFormat="1" x14ac:dyDescent="0.2">
      <c r="A76" s="47"/>
    </row>
    <row r="77" spans="1:1" s="11" customFormat="1" x14ac:dyDescent="0.2">
      <c r="A77" s="47"/>
    </row>
    <row r="78" spans="1:1" s="11" customFormat="1" x14ac:dyDescent="0.2">
      <c r="A78" s="47"/>
    </row>
    <row r="79" spans="1:1" s="11" customFormat="1" x14ac:dyDescent="0.2">
      <c r="A79" s="47"/>
    </row>
    <row r="80" spans="1:1" s="11" customFormat="1" x14ac:dyDescent="0.2">
      <c r="A80" s="47"/>
    </row>
    <row r="81" spans="1:1" s="11" customFormat="1" x14ac:dyDescent="0.2">
      <c r="A81" s="47"/>
    </row>
    <row r="82" spans="1:1" s="11" customFormat="1" x14ac:dyDescent="0.2">
      <c r="A82" s="47"/>
    </row>
    <row r="83" spans="1:1" s="11" customFormat="1" x14ac:dyDescent="0.2">
      <c r="A83" s="47"/>
    </row>
    <row r="84" spans="1:1" s="13" customFormat="1" x14ac:dyDescent="0.2">
      <c r="A84" s="48"/>
    </row>
    <row r="85" spans="1:1" s="11" customFormat="1" x14ac:dyDescent="0.2">
      <c r="A85" s="47"/>
    </row>
    <row r="86" spans="1:1" s="11" customFormat="1" x14ac:dyDescent="0.2">
      <c r="A86" s="47"/>
    </row>
    <row r="87" spans="1:1" s="11" customFormat="1" x14ac:dyDescent="0.2">
      <c r="A87" s="47"/>
    </row>
    <row r="88" spans="1:1" s="11" customFormat="1" x14ac:dyDescent="0.2">
      <c r="A88" s="47"/>
    </row>
    <row r="89" spans="1:1" s="11" customFormat="1" x14ac:dyDescent="0.2">
      <c r="A89" s="47"/>
    </row>
    <row r="90" spans="1:1" s="11" customFormat="1" x14ac:dyDescent="0.2">
      <c r="A90" s="47"/>
    </row>
    <row r="91" spans="1:1" s="11" customFormat="1" x14ac:dyDescent="0.2">
      <c r="A91" s="47"/>
    </row>
    <row r="92" spans="1:1" s="11" customFormat="1" x14ac:dyDescent="0.2">
      <c r="A92" s="47"/>
    </row>
    <row r="93" spans="1:1" s="11" customFormat="1" x14ac:dyDescent="0.2">
      <c r="A93" s="47"/>
    </row>
    <row r="94" spans="1:1" s="11" customFormat="1" x14ac:dyDescent="0.2">
      <c r="A94" s="47"/>
    </row>
    <row r="95" spans="1:1" s="11" customFormat="1" x14ac:dyDescent="0.2">
      <c r="A95" s="47"/>
    </row>
    <row r="96" spans="1:1" s="11" customFormat="1" x14ac:dyDescent="0.2">
      <c r="A96" s="47"/>
    </row>
    <row r="97" spans="1:1" s="11" customFormat="1" x14ac:dyDescent="0.2">
      <c r="A97" s="47"/>
    </row>
    <row r="98" spans="1:1" s="11" customFormat="1" x14ac:dyDescent="0.2">
      <c r="A98" s="47"/>
    </row>
    <row r="99" spans="1:1" s="11" customFormat="1" x14ac:dyDescent="0.2">
      <c r="A99" s="47"/>
    </row>
    <row r="100" spans="1:1" s="11" customFormat="1" x14ac:dyDescent="0.2">
      <c r="A100" s="47"/>
    </row>
    <row r="101" spans="1:1" s="11" customFormat="1" x14ac:dyDescent="0.2">
      <c r="A101" s="47"/>
    </row>
    <row r="102" spans="1:1" s="11" customFormat="1" x14ac:dyDescent="0.2">
      <c r="A102" s="47"/>
    </row>
    <row r="103" spans="1:1" s="11" customFormat="1" x14ac:dyDescent="0.2">
      <c r="A103" s="47"/>
    </row>
    <row r="104" spans="1:1" s="11" customFormat="1" x14ac:dyDescent="0.2">
      <c r="A104" s="47"/>
    </row>
    <row r="105" spans="1:1" s="11" customFormat="1" x14ac:dyDescent="0.2">
      <c r="A105" s="47"/>
    </row>
    <row r="106" spans="1:1" s="11" customFormat="1" x14ac:dyDescent="0.2">
      <c r="A106" s="47"/>
    </row>
    <row r="107" spans="1:1" s="11" customFormat="1" x14ac:dyDescent="0.2">
      <c r="A107" s="47"/>
    </row>
    <row r="108" spans="1:1" s="11" customFormat="1" x14ac:dyDescent="0.2">
      <c r="A108" s="47"/>
    </row>
    <row r="109" spans="1:1" s="11" customFormat="1" x14ac:dyDescent="0.2">
      <c r="A109" s="47"/>
    </row>
    <row r="110" spans="1:1" s="11" customFormat="1" x14ac:dyDescent="0.2">
      <c r="A110" s="47"/>
    </row>
    <row r="111" spans="1:1" s="11" customFormat="1" x14ac:dyDescent="0.2">
      <c r="A111" s="47"/>
    </row>
    <row r="112" spans="1:1" s="11" customFormat="1" x14ac:dyDescent="0.2">
      <c r="A112" s="47"/>
    </row>
    <row r="113" spans="1:2" s="11" customFormat="1" x14ac:dyDescent="0.2">
      <c r="A113" s="47"/>
    </row>
    <row r="114" spans="1:2" s="11" customFormat="1" x14ac:dyDescent="0.2">
      <c r="A114" s="47"/>
    </row>
    <row r="115" spans="1:2" s="11" customFormat="1" x14ac:dyDescent="0.2">
      <c r="A115" s="47"/>
    </row>
    <row r="116" spans="1:2" s="11" customFormat="1" x14ac:dyDescent="0.2">
      <c r="A116" s="47"/>
    </row>
    <row r="117" spans="1:2" s="11" customFormat="1" x14ac:dyDescent="0.2">
      <c r="A117" s="47"/>
    </row>
    <row r="118" spans="1:2" s="11" customFormat="1" x14ac:dyDescent="0.2">
      <c r="A118" s="47"/>
    </row>
    <row r="119" spans="1:2" s="11" customFormat="1" x14ac:dyDescent="0.2">
      <c r="A119" s="47"/>
    </row>
    <row r="120" spans="1:2" s="11" customFormat="1" x14ac:dyDescent="0.2">
      <c r="A120" s="47"/>
    </row>
    <row r="121" spans="1:2" s="11" customFormat="1" x14ac:dyDescent="0.2">
      <c r="A121" s="47"/>
    </row>
    <row r="122" spans="1:2" s="11" customFormat="1" x14ac:dyDescent="0.2">
      <c r="A122" s="47"/>
    </row>
    <row r="123" spans="1:2" s="11" customFormat="1" x14ac:dyDescent="0.2">
      <c r="A123" s="47"/>
    </row>
    <row r="124" spans="1:2" s="11" customFormat="1" x14ac:dyDescent="0.2">
      <c r="A124" s="47"/>
    </row>
    <row r="125" spans="1:2" s="11" customFormat="1" x14ac:dyDescent="0.2">
      <c r="A125" s="47"/>
      <c r="B125" s="24"/>
    </row>
    <row r="126" spans="1:2" s="11" customFormat="1" x14ac:dyDescent="0.2">
      <c r="A126" s="47"/>
      <c r="B126" s="24"/>
    </row>
    <row r="127" spans="1:2" s="11" customFormat="1" x14ac:dyDescent="0.2">
      <c r="A127" s="24"/>
      <c r="B127" s="24"/>
    </row>
    <row r="128" spans="1:2" s="11" customFormat="1" x14ac:dyDescent="0.2">
      <c r="A128" s="24"/>
      <c r="B128" s="24"/>
    </row>
    <row r="129" spans="1:2" s="11" customFormat="1" x14ac:dyDescent="0.2">
      <c r="A129" s="24"/>
      <c r="B129" s="24"/>
    </row>
    <row r="130" spans="1:2" s="11" customFormat="1" x14ac:dyDescent="0.2">
      <c r="A130" s="24"/>
      <c r="B130" s="24"/>
    </row>
    <row r="131" spans="1:2" s="11" customFormat="1" x14ac:dyDescent="0.2">
      <c r="A131" s="24"/>
      <c r="B131" s="24"/>
    </row>
    <row r="132" spans="1:2" s="11" customFormat="1" x14ac:dyDescent="0.2">
      <c r="A132" s="24"/>
      <c r="B132" s="24"/>
    </row>
    <row r="133" spans="1:2" s="11" customFormat="1" x14ac:dyDescent="0.2">
      <c r="A133" s="24"/>
      <c r="B133" s="24"/>
    </row>
    <row r="134" spans="1:2" s="11" customFormat="1" x14ac:dyDescent="0.2">
      <c r="A134" s="24"/>
      <c r="B134" s="24"/>
    </row>
    <row r="135" spans="1:2" s="11" customFormat="1" x14ac:dyDescent="0.2">
      <c r="A135" s="24"/>
      <c r="B135" s="24"/>
    </row>
    <row r="136" spans="1:2" s="11" customFormat="1" x14ac:dyDescent="0.2">
      <c r="A136" s="24"/>
      <c r="B136" s="24"/>
    </row>
    <row r="137" spans="1:2" s="11" customFormat="1" x14ac:dyDescent="0.2">
      <c r="A137" s="24"/>
      <c r="B137" s="24"/>
    </row>
    <row r="138" spans="1:2" s="11" customFormat="1" x14ac:dyDescent="0.2">
      <c r="A138" s="24"/>
      <c r="B138" s="24"/>
    </row>
    <row r="139" spans="1:2" s="11" customFormat="1" x14ac:dyDescent="0.2">
      <c r="A139" s="24"/>
      <c r="B139" s="24"/>
    </row>
    <row r="140" spans="1:2" s="11" customFormat="1" x14ac:dyDescent="0.2">
      <c r="A140" s="24"/>
      <c r="B140" s="24"/>
    </row>
    <row r="141" spans="1:2" s="11" customFormat="1" x14ac:dyDescent="0.2">
      <c r="A141" s="24"/>
      <c r="B141" s="24"/>
    </row>
    <row r="142" spans="1:2" s="11" customFormat="1" x14ac:dyDescent="0.2">
      <c r="A142" s="24"/>
      <c r="B142" s="24"/>
    </row>
    <row r="143" spans="1:2" s="11" customFormat="1" x14ac:dyDescent="0.2">
      <c r="A143" s="24"/>
      <c r="B143" s="24"/>
    </row>
    <row r="144" spans="1:2" s="11" customFormat="1" x14ac:dyDescent="0.2">
      <c r="A144" s="24"/>
      <c r="B144" s="24"/>
    </row>
    <row r="145" spans="1:2" s="11" customFormat="1" x14ac:dyDescent="0.2">
      <c r="A145" s="24"/>
      <c r="B145" s="24"/>
    </row>
    <row r="146" spans="1:2" s="11" customFormat="1" x14ac:dyDescent="0.2">
      <c r="A146" s="24"/>
      <c r="B146" s="24"/>
    </row>
    <row r="147" spans="1:2" s="11" customFormat="1" x14ac:dyDescent="0.2">
      <c r="A147" s="24"/>
      <c r="B147" s="24"/>
    </row>
    <row r="148" spans="1:2" s="11" customFormat="1" x14ac:dyDescent="0.2">
      <c r="A148" s="24"/>
      <c r="B148" s="24"/>
    </row>
    <row r="149" spans="1:2" s="11" customFormat="1" x14ac:dyDescent="0.2">
      <c r="A149" s="24"/>
      <c r="B149" s="24"/>
    </row>
    <row r="150" spans="1:2" s="11" customFormat="1" x14ac:dyDescent="0.2">
      <c r="A150" s="24"/>
      <c r="B150" s="24"/>
    </row>
    <row r="151" spans="1:2" s="11" customFormat="1" x14ac:dyDescent="0.2">
      <c r="A151" s="24"/>
      <c r="B151" s="24"/>
    </row>
    <row r="152" spans="1:2" s="11" customFormat="1" x14ac:dyDescent="0.2">
      <c r="A152" s="24"/>
      <c r="B152" s="24"/>
    </row>
    <row r="153" spans="1:2" s="11" customFormat="1" x14ac:dyDescent="0.2">
      <c r="A153" s="47"/>
      <c r="B153" s="24"/>
    </row>
    <row r="154" spans="1:2" s="11" customFormat="1" x14ac:dyDescent="0.2">
      <c r="A154" s="47"/>
      <c r="B154" s="24"/>
    </row>
    <row r="155" spans="1:2" s="11" customFormat="1" x14ac:dyDescent="0.2">
      <c r="A155" s="47"/>
      <c r="B155" s="24"/>
    </row>
    <row r="156" spans="1:2" s="11" customFormat="1" x14ac:dyDescent="0.2">
      <c r="A156" s="24"/>
      <c r="B156" s="24"/>
    </row>
    <row r="157" spans="1:2" s="11" customFormat="1" x14ac:dyDescent="0.2">
      <c r="A157" s="24"/>
      <c r="B157" s="24"/>
    </row>
    <row r="158" spans="1:2" s="11" customFormat="1" x14ac:dyDescent="0.2">
      <c r="A158" s="24"/>
      <c r="B158" s="24"/>
    </row>
    <row r="159" spans="1:2" s="11" customFormat="1" x14ac:dyDescent="0.2">
      <c r="A159" s="24"/>
      <c r="B159" s="24"/>
    </row>
    <row r="160" spans="1:2" s="11" customFormat="1" x14ac:dyDescent="0.2">
      <c r="A160" s="24"/>
      <c r="B160" s="24"/>
    </row>
    <row r="161" spans="1:2" s="11" customFormat="1" x14ac:dyDescent="0.2">
      <c r="A161" s="24"/>
      <c r="B161" s="24"/>
    </row>
    <row r="162" spans="1:2" s="11" customFormat="1" x14ac:dyDescent="0.2">
      <c r="A162" s="24"/>
      <c r="B162" s="24"/>
    </row>
    <row r="163" spans="1:2" s="11" customFormat="1" x14ac:dyDescent="0.2">
      <c r="A163" s="24"/>
      <c r="B163" s="24"/>
    </row>
    <row r="164" spans="1:2" s="11" customFormat="1" x14ac:dyDescent="0.2">
      <c r="A164" s="24"/>
      <c r="B164" s="24"/>
    </row>
    <row r="165" spans="1:2" s="11" customFormat="1" x14ac:dyDescent="0.2">
      <c r="A165" s="24"/>
      <c r="B165" s="24"/>
    </row>
    <row r="166" spans="1:2" s="11" customFormat="1" x14ac:dyDescent="0.2">
      <c r="A166" s="24"/>
      <c r="B166" s="24"/>
    </row>
    <row r="167" spans="1:2" s="11" customFormat="1" x14ac:dyDescent="0.2">
      <c r="A167" s="24"/>
      <c r="B167" s="24"/>
    </row>
    <row r="168" spans="1:2" s="11" customFormat="1" x14ac:dyDescent="0.2">
      <c r="A168" s="24"/>
      <c r="B168" s="24"/>
    </row>
    <row r="169" spans="1:2" s="11" customFormat="1" x14ac:dyDescent="0.2">
      <c r="A169" s="24"/>
      <c r="B169" s="24"/>
    </row>
    <row r="170" spans="1:2" s="11" customFormat="1" x14ac:dyDescent="0.2">
      <c r="A170" s="24"/>
      <c r="B170" s="24"/>
    </row>
    <row r="171" spans="1:2" s="11" customFormat="1" x14ac:dyDescent="0.2">
      <c r="A171" s="24"/>
      <c r="B171" s="24"/>
    </row>
    <row r="172" spans="1:2" s="7" customFormat="1" x14ac:dyDescent="0.2">
      <c r="A172" s="49"/>
      <c r="B172" s="49"/>
    </row>
    <row r="173" spans="1:2" s="7" customFormat="1" x14ac:dyDescent="0.2">
      <c r="A173" s="49"/>
      <c r="B173" s="49"/>
    </row>
    <row r="174" spans="1:2" s="7" customFormat="1" x14ac:dyDescent="0.2">
      <c r="A174" s="49"/>
      <c r="B174" s="49"/>
    </row>
    <row r="175" spans="1:2" s="7" customFormat="1" x14ac:dyDescent="0.2">
      <c r="A175" s="49"/>
      <c r="B175" s="49"/>
    </row>
    <row r="176" spans="1:2" s="7" customFormat="1" x14ac:dyDescent="0.2">
      <c r="A176" s="49"/>
      <c r="B176" s="49"/>
    </row>
    <row r="177" spans="1:2" s="7" customFormat="1" x14ac:dyDescent="0.2">
      <c r="A177" s="49"/>
      <c r="B177" s="49"/>
    </row>
    <row r="178" spans="1:2" s="7" customFormat="1" x14ac:dyDescent="0.2">
      <c r="A178" s="49"/>
      <c r="B178" s="49"/>
    </row>
    <row r="179" spans="1:2" s="7" customFormat="1" x14ac:dyDescent="0.2">
      <c r="A179" s="49"/>
      <c r="B179" s="49"/>
    </row>
    <row r="180" spans="1:2" s="7" customFormat="1" x14ac:dyDescent="0.2">
      <c r="A180" s="49"/>
      <c r="B180" s="49"/>
    </row>
    <row r="181" spans="1:2" s="11" customFormat="1" x14ac:dyDescent="0.2">
      <c r="A181" s="24"/>
      <c r="B181" s="24"/>
    </row>
    <row r="182" spans="1:2" s="11" customFormat="1" x14ac:dyDescent="0.2">
      <c r="A182" s="24"/>
      <c r="B182" s="24"/>
    </row>
    <row r="183" spans="1:2" s="11" customFormat="1" x14ac:dyDescent="0.2">
      <c r="A183" s="24"/>
      <c r="B183" s="24"/>
    </row>
    <row r="184" spans="1:2" s="11" customFormat="1" x14ac:dyDescent="0.2">
      <c r="A184" s="24"/>
      <c r="B184" s="24"/>
    </row>
    <row r="185" spans="1:2" s="11" customFormat="1" x14ac:dyDescent="0.2">
      <c r="A185" s="24"/>
      <c r="B185" s="24"/>
    </row>
    <row r="186" spans="1:2" s="11" customFormat="1" x14ac:dyDescent="0.2">
      <c r="A186" s="24"/>
      <c r="B186" s="24"/>
    </row>
    <row r="187" spans="1:2" s="11" customFormat="1" x14ac:dyDescent="0.2">
      <c r="A187" s="24"/>
      <c r="B187" s="24"/>
    </row>
    <row r="188" spans="1:2" s="11" customFormat="1" x14ac:dyDescent="0.2">
      <c r="A188" s="24"/>
      <c r="B188" s="24"/>
    </row>
    <row r="189" spans="1:2" s="11" customFormat="1" x14ac:dyDescent="0.2">
      <c r="A189" s="24"/>
      <c r="B189" s="24"/>
    </row>
  </sheetData>
  <pageMargins left="0.25" right="0.25" top="0.75" bottom="0.75" header="0.3" footer="0.3"/>
  <pageSetup paperSize="8" fitToHeight="0" orientation="landscape" r:id="rId1"/>
  <headerFooter>
    <oddHeader>&amp;R&amp;D</oddHeader>
    <oddFooter>&amp;L&amp;F / &amp;A&amp;R&amp;P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5:Y138"/>
  <sheetViews>
    <sheetView showGridLines="0" showZeros="0" zoomScaleNormal="100" zoomScaleSheetLayoutView="100" workbookViewId="0">
      <pane xSplit="2" ySplit="5" topLeftCell="C9" activePane="bottomRight" state="frozen"/>
      <selection activeCell="D36" sqref="D36:E36"/>
      <selection pane="topRight" activeCell="D36" sqref="D36:E36"/>
      <selection pane="bottomLeft" activeCell="D36" sqref="D36:E36"/>
      <selection pane="bottomRight"/>
    </sheetView>
  </sheetViews>
  <sheetFormatPr baseColWidth="10" defaultColWidth="11" defaultRowHeight="12.75" x14ac:dyDescent="0.2"/>
  <cols>
    <col min="1" max="1" width="2.75" style="43" customWidth="1"/>
    <col min="2" max="2" width="40.625" style="43" customWidth="1"/>
    <col min="3" max="9" width="15.625" style="8" customWidth="1"/>
    <col min="10" max="10" width="2.625" style="8" customWidth="1"/>
    <col min="11" max="17" width="15.625" style="8" customWidth="1"/>
    <col min="18" max="18" width="2.625" style="8" customWidth="1"/>
    <col min="19" max="25" width="15.625" style="8" customWidth="1"/>
    <col min="26" max="16384" width="11" style="8"/>
  </cols>
  <sheetData>
    <row r="5" spans="1:25" s="632" customFormat="1" ht="16.5" thickBot="1" x14ac:dyDescent="0.3">
      <c r="A5" s="747"/>
      <c r="B5" s="748" t="s">
        <v>213</v>
      </c>
      <c r="C5" s="749" t="s">
        <v>179</v>
      </c>
      <c r="D5" s="747"/>
      <c r="E5" s="747"/>
      <c r="F5" s="750"/>
      <c r="G5" s="750"/>
      <c r="H5" s="747"/>
      <c r="I5" s="747"/>
      <c r="J5" s="751"/>
      <c r="K5" s="749" t="s">
        <v>180</v>
      </c>
      <c r="L5" s="747"/>
      <c r="M5" s="747"/>
      <c r="N5" s="750"/>
      <c r="O5" s="750"/>
      <c r="P5" s="747"/>
      <c r="Q5" s="747"/>
      <c r="R5" s="751"/>
      <c r="S5" s="749" t="s">
        <v>181</v>
      </c>
      <c r="T5" s="747"/>
      <c r="U5" s="747"/>
      <c r="V5" s="750"/>
      <c r="W5" s="750"/>
      <c r="X5" s="747"/>
      <c r="Y5" s="747"/>
    </row>
    <row r="6" spans="1:25" s="11" customFormat="1" x14ac:dyDescent="0.2">
      <c r="A6" s="47"/>
      <c r="B6" s="57"/>
      <c r="F6" s="8"/>
      <c r="G6" s="8"/>
      <c r="J6" s="60"/>
      <c r="N6" s="8"/>
      <c r="O6" s="8"/>
      <c r="R6" s="60"/>
      <c r="V6" s="8"/>
      <c r="W6" s="8"/>
    </row>
    <row r="7" spans="1:25" s="11" customFormat="1" x14ac:dyDescent="0.2">
      <c r="A7" s="47"/>
      <c r="B7" s="389" t="s">
        <v>530</v>
      </c>
      <c r="C7" s="412" t="s">
        <v>513</v>
      </c>
      <c r="F7" s="8"/>
      <c r="G7" s="8"/>
      <c r="J7" s="60"/>
      <c r="K7" s="412" t="s">
        <v>513</v>
      </c>
      <c r="N7" s="8"/>
      <c r="O7" s="8"/>
      <c r="R7" s="60"/>
      <c r="S7" s="412" t="s">
        <v>513</v>
      </c>
      <c r="V7" s="8"/>
      <c r="W7" s="8"/>
    </row>
    <row r="8" spans="1:25" s="11" customFormat="1" x14ac:dyDescent="0.2">
      <c r="A8" s="47"/>
      <c r="B8" s="105" t="s">
        <v>69</v>
      </c>
      <c r="C8" s="451" t="s">
        <v>197</v>
      </c>
      <c r="D8" s="3" t="s">
        <v>71</v>
      </c>
      <c r="E8" s="3" t="s">
        <v>211</v>
      </c>
      <c r="F8" s="8"/>
      <c r="G8" s="8"/>
      <c r="J8" s="60"/>
      <c r="K8" s="451" t="str">
        <f t="shared" ref="K8:M16" si="0">C8</f>
        <v>3CL</v>
      </c>
      <c r="L8" s="3" t="str">
        <f t="shared" si="0"/>
        <v>TH-C-E-Ex</v>
      </c>
      <c r="M8" s="3" t="str">
        <f t="shared" si="0"/>
        <v>Facture ou relève</v>
      </c>
      <c r="N8" s="8"/>
      <c r="O8" s="8"/>
      <c r="P8" s="5"/>
      <c r="Q8" s="5"/>
      <c r="R8" s="60"/>
      <c r="S8" s="451" t="str">
        <f t="shared" ref="S8:U16" si="1">K8</f>
        <v>3CL</v>
      </c>
      <c r="T8" s="3" t="str">
        <f t="shared" si="1"/>
        <v>TH-C-E-Ex</v>
      </c>
      <c r="U8" s="3" t="str">
        <f t="shared" si="1"/>
        <v>Facture ou relève</v>
      </c>
      <c r="V8" s="8"/>
      <c r="W8" s="8"/>
      <c r="X8" s="5"/>
      <c r="Y8" s="5"/>
    </row>
    <row r="9" spans="1:25" s="345" customFormat="1" ht="51" x14ac:dyDescent="0.2">
      <c r="A9" s="343"/>
      <c r="B9" s="105" t="s">
        <v>217</v>
      </c>
      <c r="C9" s="745" t="s">
        <v>380</v>
      </c>
      <c r="D9" s="37" t="s">
        <v>198</v>
      </c>
      <c r="E9" s="3" t="s">
        <v>212</v>
      </c>
      <c r="F9" s="344"/>
      <c r="G9" s="344"/>
      <c r="J9" s="346"/>
      <c r="K9" s="451" t="str">
        <f t="shared" si="0"/>
        <v>DPE</v>
      </c>
      <c r="L9" s="3" t="str">
        <f t="shared" si="0"/>
        <v>RT existant</v>
      </c>
      <c r="M9" s="3" t="str">
        <f t="shared" si="0"/>
        <v>Consommations réelles globales (Chauff/ECS séparées)</v>
      </c>
      <c r="N9" s="8"/>
      <c r="O9" s="8"/>
      <c r="P9" s="5"/>
      <c r="Q9" s="5"/>
      <c r="R9" s="346"/>
      <c r="S9" s="451" t="str">
        <f t="shared" si="1"/>
        <v>DPE</v>
      </c>
      <c r="T9" s="3" t="str">
        <f t="shared" si="1"/>
        <v>RT existant</v>
      </c>
      <c r="U9" s="3" t="str">
        <f t="shared" si="1"/>
        <v>Consommations réelles globales (Chauff/ECS séparées)</v>
      </c>
      <c r="V9" s="8"/>
      <c r="W9" s="8"/>
      <c r="X9" s="5"/>
      <c r="Y9" s="5"/>
    </row>
    <row r="10" spans="1:25" s="11" customFormat="1" x14ac:dyDescent="0.2">
      <c r="A10" s="47"/>
      <c r="B10" s="105" t="s">
        <v>33</v>
      </c>
      <c r="C10" s="452"/>
      <c r="D10" s="453">
        <v>330000</v>
      </c>
      <c r="E10" s="453"/>
      <c r="F10" s="8"/>
      <c r="G10" s="8"/>
      <c r="J10" s="60"/>
      <c r="K10" s="452">
        <f>C10</f>
        <v>0</v>
      </c>
      <c r="L10" s="453">
        <v>123750</v>
      </c>
      <c r="M10" s="453">
        <f t="shared" si="0"/>
        <v>0</v>
      </c>
      <c r="N10" s="8"/>
      <c r="O10" s="8"/>
      <c r="P10" s="5"/>
      <c r="Q10" s="5"/>
      <c r="R10" s="60"/>
      <c r="S10" s="452">
        <f>K10</f>
        <v>0</v>
      </c>
      <c r="T10" s="453">
        <f t="shared" si="1"/>
        <v>123750</v>
      </c>
      <c r="U10" s="453">
        <f t="shared" si="1"/>
        <v>0</v>
      </c>
      <c r="V10" s="8"/>
      <c r="W10" s="8"/>
      <c r="X10" s="5"/>
      <c r="Y10" s="5"/>
    </row>
    <row r="11" spans="1:25" s="11" customFormat="1" x14ac:dyDescent="0.2">
      <c r="A11" s="47"/>
      <c r="B11" s="105" t="s">
        <v>36</v>
      </c>
      <c r="C11" s="452"/>
      <c r="D11" s="453">
        <v>104500</v>
      </c>
      <c r="E11" s="453"/>
      <c r="F11" s="8"/>
      <c r="G11" s="8"/>
      <c r="J11" s="60"/>
      <c r="K11" s="452">
        <f t="shared" ref="K11:K12" si="2">C11</f>
        <v>0</v>
      </c>
      <c r="L11" s="453">
        <v>104500</v>
      </c>
      <c r="M11" s="453">
        <f t="shared" si="0"/>
        <v>0</v>
      </c>
      <c r="N11" s="8"/>
      <c r="O11" s="8"/>
      <c r="P11" s="5"/>
      <c r="Q11" s="5"/>
      <c r="R11" s="60"/>
      <c r="S11" s="452">
        <f t="shared" ref="S11:S12" si="3">K11</f>
        <v>0</v>
      </c>
      <c r="T11" s="453">
        <f t="shared" si="1"/>
        <v>104500</v>
      </c>
      <c r="U11" s="453">
        <f t="shared" si="1"/>
        <v>0</v>
      </c>
      <c r="V11" s="8"/>
      <c r="W11" s="8"/>
      <c r="X11" s="5"/>
      <c r="Y11" s="5"/>
    </row>
    <row r="12" spans="1:25" s="11" customFormat="1" x14ac:dyDescent="0.2">
      <c r="A12" s="47"/>
      <c r="B12" s="105" t="s">
        <v>37</v>
      </c>
      <c r="C12" s="452"/>
      <c r="D12" s="453"/>
      <c r="E12" s="454"/>
      <c r="F12" s="8"/>
      <c r="G12" s="8"/>
      <c r="J12" s="60"/>
      <c r="K12" s="452">
        <f t="shared" si="2"/>
        <v>0</v>
      </c>
      <c r="L12" s="453"/>
      <c r="M12" s="454">
        <f t="shared" si="0"/>
        <v>0</v>
      </c>
      <c r="N12" s="8"/>
      <c r="O12" s="8"/>
      <c r="P12" s="5"/>
      <c r="Q12" s="5"/>
      <c r="R12" s="60"/>
      <c r="S12" s="452">
        <f t="shared" si="3"/>
        <v>0</v>
      </c>
      <c r="T12" s="453">
        <f t="shared" si="1"/>
        <v>0</v>
      </c>
      <c r="U12" s="454">
        <f t="shared" si="1"/>
        <v>0</v>
      </c>
      <c r="V12" s="8"/>
      <c r="W12" s="8"/>
      <c r="X12" s="5"/>
      <c r="Y12" s="5"/>
    </row>
    <row r="13" spans="1:25" s="11" customFormat="1" x14ac:dyDescent="0.2">
      <c r="A13" s="47"/>
      <c r="B13" s="105" t="s">
        <v>53</v>
      </c>
      <c r="C13" s="455"/>
      <c r="D13" s="453">
        <v>10000</v>
      </c>
      <c r="E13" s="844"/>
      <c r="J13" s="60"/>
      <c r="K13" s="470"/>
      <c r="L13" s="453">
        <v>10000</v>
      </c>
      <c r="M13" s="844">
        <f t="shared" si="0"/>
        <v>0</v>
      </c>
      <c r="N13" s="5"/>
      <c r="O13" s="5"/>
      <c r="P13" s="5"/>
      <c r="Q13" s="5"/>
      <c r="R13" s="60"/>
      <c r="S13" s="470"/>
      <c r="T13" s="453">
        <f t="shared" si="1"/>
        <v>10000</v>
      </c>
      <c r="U13" s="844">
        <f t="shared" si="1"/>
        <v>0</v>
      </c>
      <c r="V13" s="5"/>
      <c r="W13" s="5"/>
      <c r="X13" s="5"/>
      <c r="Y13" s="5"/>
    </row>
    <row r="14" spans="1:25" s="11" customFormat="1" x14ac:dyDescent="0.2">
      <c r="A14" s="47"/>
      <c r="B14" s="105" t="s">
        <v>54</v>
      </c>
      <c r="C14" s="455"/>
      <c r="D14" s="453">
        <v>5000</v>
      </c>
      <c r="E14" s="845"/>
      <c r="J14" s="60"/>
      <c r="K14" s="470"/>
      <c r="L14" s="453">
        <v>5000</v>
      </c>
      <c r="M14" s="845">
        <f t="shared" si="0"/>
        <v>0</v>
      </c>
      <c r="N14" s="5"/>
      <c r="O14" s="5"/>
      <c r="P14" s="5"/>
      <c r="Q14" s="5"/>
      <c r="R14" s="60"/>
      <c r="S14" s="470"/>
      <c r="T14" s="453">
        <f t="shared" si="1"/>
        <v>5000</v>
      </c>
      <c r="U14" s="845">
        <f t="shared" si="1"/>
        <v>0</v>
      </c>
      <c r="V14" s="5"/>
      <c r="W14" s="5"/>
      <c r="X14" s="5"/>
      <c r="Y14" s="5"/>
    </row>
    <row r="15" spans="1:25" s="11" customFormat="1" x14ac:dyDescent="0.2">
      <c r="A15" s="47"/>
      <c r="B15" s="105" t="s">
        <v>55</v>
      </c>
      <c r="C15" s="455"/>
      <c r="D15" s="453">
        <v>4000</v>
      </c>
      <c r="E15" s="845"/>
      <c r="J15" s="60"/>
      <c r="K15" s="470"/>
      <c r="L15" s="453">
        <v>4000</v>
      </c>
      <c r="M15" s="845">
        <f t="shared" si="0"/>
        <v>0</v>
      </c>
      <c r="N15" s="5"/>
      <c r="O15" s="5"/>
      <c r="P15" s="5"/>
      <c r="Q15" s="5"/>
      <c r="R15" s="60"/>
      <c r="S15" s="470"/>
      <c r="T15" s="453">
        <f t="shared" si="1"/>
        <v>4000</v>
      </c>
      <c r="U15" s="845">
        <f t="shared" si="1"/>
        <v>0</v>
      </c>
      <c r="V15" s="5"/>
      <c r="W15" s="5"/>
      <c r="X15" s="5"/>
      <c r="Y15" s="5"/>
    </row>
    <row r="16" spans="1:25" s="11" customFormat="1" x14ac:dyDescent="0.2">
      <c r="A16" s="47"/>
      <c r="B16" s="105" t="s">
        <v>56</v>
      </c>
      <c r="C16" s="455"/>
      <c r="D16" s="453"/>
      <c r="E16" s="846"/>
      <c r="J16" s="60"/>
      <c r="K16" s="470"/>
      <c r="L16" s="453"/>
      <c r="M16" s="846">
        <f t="shared" si="0"/>
        <v>0</v>
      </c>
      <c r="N16" s="5"/>
      <c r="O16" s="5"/>
      <c r="P16" s="5"/>
      <c r="Q16" s="5"/>
      <c r="R16" s="60"/>
      <c r="S16" s="470"/>
      <c r="T16" s="453">
        <f t="shared" si="1"/>
        <v>0</v>
      </c>
      <c r="U16" s="846">
        <f t="shared" si="1"/>
        <v>0</v>
      </c>
      <c r="V16" s="5"/>
      <c r="W16" s="5"/>
      <c r="X16" s="5"/>
      <c r="Y16" s="5"/>
    </row>
    <row r="17" spans="1:25" s="11" customFormat="1" x14ac:dyDescent="0.2">
      <c r="A17" s="47"/>
      <c r="B17" s="105" t="s">
        <v>70</v>
      </c>
      <c r="C17" s="456">
        <f>SUM(C10:C12)</f>
        <v>0</v>
      </c>
      <c r="D17" s="457">
        <f>SUM(D10:D16)</f>
        <v>453500</v>
      </c>
      <c r="E17" s="457">
        <f>SUM(E10:E12)</f>
        <v>0</v>
      </c>
      <c r="J17" s="60"/>
      <c r="K17" s="456">
        <f>SUM(K10:K12)</f>
        <v>0</v>
      </c>
      <c r="L17" s="457">
        <f>SUM(L10:L16)</f>
        <v>247250</v>
      </c>
      <c r="M17" s="457">
        <f>SUM(M10:M12)</f>
        <v>0</v>
      </c>
      <c r="N17" s="5"/>
      <c r="O17" s="5"/>
      <c r="P17" s="5"/>
      <c r="Q17" s="5"/>
      <c r="R17" s="60"/>
      <c r="S17" s="456">
        <f>SUM(S10:S12)</f>
        <v>0</v>
      </c>
      <c r="T17" s="457">
        <f>SUM(T10:T16)</f>
        <v>247250</v>
      </c>
      <c r="U17" s="457">
        <f>SUM(U10:U12)</f>
        <v>0</v>
      </c>
      <c r="V17" s="5"/>
      <c r="W17" s="5"/>
      <c r="X17" s="5"/>
      <c r="Y17" s="5"/>
    </row>
    <row r="18" spans="1:25" s="11" customFormat="1" x14ac:dyDescent="0.2">
      <c r="A18" s="47"/>
      <c r="B18" s="57"/>
      <c r="J18" s="60"/>
      <c r="K18" s="5"/>
      <c r="L18" s="5"/>
      <c r="M18" s="5"/>
      <c r="N18" s="5"/>
      <c r="O18" s="5"/>
      <c r="P18" s="5"/>
      <c r="Q18" s="5"/>
      <c r="R18" s="60"/>
      <c r="S18" s="5"/>
      <c r="T18" s="5"/>
      <c r="U18" s="5"/>
      <c r="V18" s="5"/>
      <c r="W18" s="5"/>
      <c r="X18" s="5"/>
      <c r="Y18" s="5"/>
    </row>
    <row r="19" spans="1:25" s="11" customFormat="1" ht="25.5" x14ac:dyDescent="0.2">
      <c r="A19" s="47"/>
      <c r="B19" s="58" t="s">
        <v>218</v>
      </c>
      <c r="C19" s="847" t="s">
        <v>198</v>
      </c>
      <c r="D19" s="848"/>
      <c r="J19" s="60"/>
      <c r="K19" s="847" t="str">
        <f>C19</f>
        <v>RT existant</v>
      </c>
      <c r="L19" s="848"/>
      <c r="M19" s="5"/>
      <c r="N19" s="5"/>
      <c r="O19" s="5"/>
      <c r="P19" s="5"/>
      <c r="Q19" s="5"/>
      <c r="R19" s="60"/>
      <c r="S19" s="847" t="str">
        <f>K19</f>
        <v>RT existant</v>
      </c>
      <c r="T19" s="848"/>
      <c r="U19" s="5"/>
      <c r="V19" s="5"/>
      <c r="W19" s="5"/>
      <c r="X19" s="5"/>
      <c r="Y19" s="5"/>
    </row>
    <row r="20" spans="1:25" s="11" customFormat="1" x14ac:dyDescent="0.2">
      <c r="A20" s="47"/>
      <c r="B20" s="57"/>
      <c r="H20" s="10"/>
      <c r="I20" s="10"/>
      <c r="J20" s="60"/>
      <c r="K20" s="5"/>
      <c r="L20" s="5"/>
      <c r="M20" s="5"/>
      <c r="N20" s="5"/>
      <c r="O20" s="5"/>
      <c r="P20" s="471"/>
      <c r="Q20" s="471"/>
      <c r="R20" s="60"/>
      <c r="S20" s="5"/>
      <c r="T20" s="5"/>
      <c r="U20" s="5"/>
      <c r="V20" s="5"/>
      <c r="W20" s="5"/>
      <c r="X20" s="471"/>
      <c r="Y20" s="471"/>
    </row>
    <row r="21" spans="1:25" s="11" customFormat="1" ht="25.5" x14ac:dyDescent="0.2">
      <c r="A21" s="47"/>
      <c r="B21" s="389" t="s">
        <v>543</v>
      </c>
      <c r="C21" s="744" t="s">
        <v>744</v>
      </c>
      <c r="D21" s="10"/>
      <c r="E21" s="23"/>
      <c r="F21" s="23"/>
      <c r="I21" s="10"/>
      <c r="J21" s="60"/>
      <c r="K21" s="744" t="str">
        <f>C21</f>
        <v>valeurs données à titre indicatif</v>
      </c>
      <c r="L21" s="471"/>
      <c r="M21" s="471"/>
      <c r="N21" s="471"/>
      <c r="O21" s="5"/>
      <c r="P21" s="5"/>
      <c r="Q21" s="471"/>
      <c r="R21" s="60"/>
      <c r="S21" s="471" t="str">
        <f>K21</f>
        <v>valeurs données à titre indicatif</v>
      </c>
      <c r="T21" s="471"/>
      <c r="U21" s="471"/>
      <c r="V21" s="471"/>
      <c r="W21" s="5"/>
      <c r="X21" s="5"/>
      <c r="Y21" s="471"/>
    </row>
    <row r="22" spans="1:25" s="345" customFormat="1" ht="25.5" x14ac:dyDescent="0.2">
      <c r="A22" s="343"/>
      <c r="B22" s="105"/>
      <c r="C22" s="451" t="s">
        <v>215</v>
      </c>
      <c r="D22" s="3" t="s">
        <v>442</v>
      </c>
      <c r="E22" s="3" t="s">
        <v>443</v>
      </c>
      <c r="F22" s="3" t="s">
        <v>216</v>
      </c>
      <c r="I22" s="10"/>
      <c r="J22" s="346"/>
      <c r="K22" s="451" t="s">
        <v>215</v>
      </c>
      <c r="L22" s="3" t="s">
        <v>442</v>
      </c>
      <c r="M22" s="3" t="s">
        <v>443</v>
      </c>
      <c r="N22" s="3" t="s">
        <v>216</v>
      </c>
      <c r="O22" s="5"/>
      <c r="P22" s="5"/>
      <c r="Q22" s="471"/>
      <c r="R22" s="346"/>
      <c r="S22" s="451" t="s">
        <v>215</v>
      </c>
      <c r="T22" s="3" t="s">
        <v>442</v>
      </c>
      <c r="U22" s="3" t="s">
        <v>443</v>
      </c>
      <c r="V22" s="3" t="s">
        <v>216</v>
      </c>
      <c r="W22" s="5"/>
      <c r="X22" s="5"/>
      <c r="Y22" s="471"/>
    </row>
    <row r="23" spans="1:25" s="11" customFormat="1" x14ac:dyDescent="0.2">
      <c r="A23" s="47"/>
      <c r="B23" s="458" t="s">
        <v>39</v>
      </c>
      <c r="C23" s="791">
        <f>IF(C$19="DPE",C10,IF(C$19="RT existant",D10,E10))</f>
        <v>330000</v>
      </c>
      <c r="D23" s="459">
        <f>C23/SHAB</f>
        <v>120</v>
      </c>
      <c r="E23" s="460">
        <f>IF(G34="","",D23*G34)</f>
        <v>120</v>
      </c>
      <c r="F23" s="461">
        <f>IF(H34="",0,C23*H$34/SHAB)</f>
        <v>36</v>
      </c>
      <c r="I23" s="10"/>
      <c r="J23" s="60"/>
      <c r="K23" s="456">
        <f>IF(K$19="DPE",K10,IF(K$19="RT existant",L10,M10))</f>
        <v>123750</v>
      </c>
      <c r="L23" s="459">
        <f>K23/SHAB</f>
        <v>45</v>
      </c>
      <c r="M23" s="460">
        <f>IF(O34="","",L23*O34)</f>
        <v>45</v>
      </c>
      <c r="N23" s="461">
        <f>IF(P34="",0,K23*P$34/SHAB)</f>
        <v>10.53</v>
      </c>
      <c r="O23" s="5"/>
      <c r="P23" s="5"/>
      <c r="Q23" s="471"/>
      <c r="R23" s="60"/>
      <c r="S23" s="456">
        <f>IF(S$19="DPE",S10,IF(S$19="RT existant",T10,U10))</f>
        <v>123750</v>
      </c>
      <c r="T23" s="459">
        <f>S23/SHAB</f>
        <v>45</v>
      </c>
      <c r="U23" s="460">
        <f>IF(W34="","",T23*W34)</f>
        <v>45</v>
      </c>
      <c r="V23" s="461">
        <f>IF(X34="",0,S23*X$34/SHAB)</f>
        <v>4.0049999999999999</v>
      </c>
      <c r="W23" s="5"/>
      <c r="X23" s="5"/>
      <c r="Y23" s="471"/>
    </row>
    <row r="24" spans="1:25" s="11" customFormat="1" x14ac:dyDescent="0.2">
      <c r="A24" s="47"/>
      <c r="B24" s="458" t="s">
        <v>40</v>
      </c>
      <c r="C24" s="791">
        <f>IF(C$19="DPE",C11,IF(C$19="RT existant",D11,E11))</f>
        <v>104500</v>
      </c>
      <c r="D24" s="459">
        <f>C24/SHAB</f>
        <v>38</v>
      </c>
      <c r="E24" s="460">
        <f>IF(G35="","",D24*G35)</f>
        <v>38</v>
      </c>
      <c r="F24" s="461">
        <f>IF(H35="",0,C24*H$35/SHAB)</f>
        <v>11.4</v>
      </c>
      <c r="I24" s="10"/>
      <c r="J24" s="60"/>
      <c r="K24" s="456">
        <f>IF(K$19="DPE",K11,IF(K$19="RT existant",L11,M11))</f>
        <v>104500</v>
      </c>
      <c r="L24" s="459">
        <f>K24/SHAB</f>
        <v>38</v>
      </c>
      <c r="M24" s="460">
        <f>IF(O35="","",L24*O35)</f>
        <v>38</v>
      </c>
      <c r="N24" s="461">
        <f>IF(P35="",0,K24*P$35/SHAB)</f>
        <v>8.8919999999999995</v>
      </c>
      <c r="O24" s="5"/>
      <c r="P24" s="5"/>
      <c r="Q24" s="471"/>
      <c r="R24" s="60"/>
      <c r="S24" s="456">
        <f>IF(S$19="DPE",S11,IF(S$19="RT existant",T11,U11))</f>
        <v>104500</v>
      </c>
      <c r="T24" s="459">
        <f>S24/SHAB</f>
        <v>38</v>
      </c>
      <c r="U24" s="460">
        <f>IF(W35="","",T24*W35)</f>
        <v>38</v>
      </c>
      <c r="V24" s="461">
        <f>IF(X35="",0,S24*X$35/SHAB)</f>
        <v>3.3820000000000001</v>
      </c>
      <c r="W24" s="5"/>
      <c r="X24" s="5"/>
      <c r="Y24" s="471"/>
    </row>
    <row r="25" spans="1:25" s="11" customFormat="1" x14ac:dyDescent="0.2">
      <c r="A25" s="47"/>
      <c r="B25" s="458" t="s">
        <v>41</v>
      </c>
      <c r="C25" s="791">
        <f>IF(C$19="DPE",C12,IF(C$19="RT existant",D12,E12))</f>
        <v>0</v>
      </c>
      <c r="D25" s="459">
        <f>C25/SHAB</f>
        <v>0</v>
      </c>
      <c r="E25" s="460" t="str">
        <f>IF(G36="","",D25*G36)</f>
        <v/>
      </c>
      <c r="F25" s="461">
        <f>IF(H36="",0,C25*H$36/SHAB)</f>
        <v>0</v>
      </c>
      <c r="I25" s="10"/>
      <c r="J25" s="60"/>
      <c r="K25" s="456">
        <f>IF(K$19="DPE",K12,IF(K$19="RT existant",L12,M12))</f>
        <v>0</v>
      </c>
      <c r="L25" s="459">
        <f>K25/SHAB</f>
        <v>0</v>
      </c>
      <c r="M25" s="460" t="str">
        <f>IF(O36="","",L25*O36)</f>
        <v/>
      </c>
      <c r="N25" s="461">
        <f>IF(P36="",0,K25*P$36/SHAB)</f>
        <v>0</v>
      </c>
      <c r="O25" s="5"/>
      <c r="P25" s="5"/>
      <c r="Q25" s="471"/>
      <c r="R25" s="60"/>
      <c r="S25" s="456">
        <f>IF(S$19="DPE",S12,IF(S$19="RT existant",T12,U12))</f>
        <v>0</v>
      </c>
      <c r="T25" s="459">
        <f>S25/SHAB</f>
        <v>0</v>
      </c>
      <c r="U25" s="460" t="str">
        <f>IF(W36="","",T25*W36)</f>
        <v/>
      </c>
      <c r="V25" s="461">
        <f>IF(X36="",0,S25*X$36/SHAB)</f>
        <v>0</v>
      </c>
      <c r="W25" s="5"/>
      <c r="X25" s="5"/>
      <c r="Y25" s="471"/>
    </row>
    <row r="26" spans="1:25" s="11" customFormat="1" x14ac:dyDescent="0.2">
      <c r="A26" s="47"/>
      <c r="B26" s="462" t="s">
        <v>74</v>
      </c>
      <c r="C26" s="463">
        <f>IF(C$19="DPE",SUM(C13:C16),IF(C$19="RT existant",SUM(D13:D16),SUM(E13:E16)))</f>
        <v>19000</v>
      </c>
      <c r="D26" s="464">
        <f>C26/SHAB</f>
        <v>6.9090909090909092</v>
      </c>
      <c r="E26" s="465">
        <f>IF(G37="","",D26*G37)</f>
        <v>17.825454545454548</v>
      </c>
      <c r="F26" s="466">
        <f>IF(H37="",0,C26*H$37/SHAB)</f>
        <v>1.2436363636363637</v>
      </c>
      <c r="G26" s="9"/>
      <c r="I26" s="10"/>
      <c r="J26" s="60"/>
      <c r="K26" s="463">
        <f>IF(K$19="DPE",SUM(K13:K16),IF(K$19="RT existant",SUM(L13:L16),SUM(M13:M16)))</f>
        <v>19000</v>
      </c>
      <c r="L26" s="464">
        <f>K26/SHAB</f>
        <v>6.9090909090909092</v>
      </c>
      <c r="M26" s="465">
        <f>IF(O37="","",L26*O37)</f>
        <v>17.825454545454548</v>
      </c>
      <c r="N26" s="466">
        <f>IF(P37="",0,K26*P$37/SHAB)</f>
        <v>1.2436363636363637</v>
      </c>
      <c r="O26" s="9"/>
      <c r="P26" s="5"/>
      <c r="Q26" s="471"/>
      <c r="R26" s="60"/>
      <c r="S26" s="463">
        <f>IF(S$19="DPE",SUM(S13:S16),IF(S$19="RT existant",SUM(T13:T16),SUM(U13:U16)))</f>
        <v>19000</v>
      </c>
      <c r="T26" s="464">
        <f>S26/SHAB</f>
        <v>6.9090909090909092</v>
      </c>
      <c r="U26" s="465">
        <f>IF(W37="","",T26*W37)</f>
        <v>17.825454545454548</v>
      </c>
      <c r="V26" s="466">
        <f>IF(X37="",0,S26*X$37/SHAB)</f>
        <v>1.2436363636363637</v>
      </c>
      <c r="W26" s="9"/>
      <c r="X26" s="5"/>
      <c r="Y26" s="471"/>
    </row>
    <row r="27" spans="1:25" s="121" customFormat="1" x14ac:dyDescent="0.2">
      <c r="A27" s="47"/>
      <c r="B27" s="57"/>
      <c r="C27" s="5"/>
      <c r="D27" s="490"/>
      <c r="E27" s="491"/>
      <c r="F27" s="492"/>
      <c r="G27" s="469"/>
      <c r="I27" s="10"/>
      <c r="J27" s="60"/>
      <c r="K27" s="5"/>
      <c r="L27" s="490"/>
      <c r="M27" s="491"/>
      <c r="N27" s="492"/>
      <c r="O27" s="469"/>
      <c r="P27" s="330"/>
      <c r="Q27" s="471"/>
      <c r="R27" s="60"/>
      <c r="S27" s="5"/>
      <c r="T27" s="490"/>
      <c r="U27" s="491"/>
      <c r="V27" s="492"/>
      <c r="W27" s="469"/>
      <c r="X27" s="330"/>
      <c r="Y27" s="471"/>
    </row>
    <row r="28" spans="1:25" s="121" customFormat="1" x14ac:dyDescent="0.2">
      <c r="A28" s="47"/>
      <c r="B28" s="389" t="s">
        <v>542</v>
      </c>
      <c r="C28" s="5"/>
      <c r="D28" s="10"/>
      <c r="E28" s="23"/>
      <c r="F28" s="23"/>
      <c r="I28" s="10"/>
      <c r="J28" s="60"/>
      <c r="K28" s="5"/>
      <c r="L28" s="471"/>
      <c r="M28" s="471"/>
      <c r="N28" s="471"/>
      <c r="O28" s="330"/>
      <c r="P28" s="330"/>
      <c r="Q28" s="471"/>
      <c r="R28" s="60"/>
      <c r="S28" s="5"/>
      <c r="T28" s="471"/>
      <c r="U28" s="471"/>
      <c r="V28" s="471"/>
      <c r="W28" s="330"/>
      <c r="X28" s="330"/>
      <c r="Y28" s="471"/>
    </row>
    <row r="29" spans="1:25" s="345" customFormat="1" x14ac:dyDescent="0.2">
      <c r="A29" s="343"/>
      <c r="B29" s="105"/>
      <c r="C29" s="849" t="s">
        <v>72</v>
      </c>
      <c r="D29" s="850"/>
      <c r="E29" s="850" t="s">
        <v>73</v>
      </c>
      <c r="F29" s="850"/>
      <c r="I29" s="10"/>
      <c r="J29" s="346"/>
      <c r="K29" s="849" t="str">
        <f>C29</f>
        <v>Etiquette énergie</v>
      </c>
      <c r="L29" s="850"/>
      <c r="M29" s="850" t="str">
        <f>E29</f>
        <v>Etiquette climat</v>
      </c>
      <c r="N29" s="850"/>
      <c r="O29" s="5"/>
      <c r="P29" s="5"/>
      <c r="Q29" s="471"/>
      <c r="R29" s="346"/>
      <c r="S29" s="849" t="str">
        <f>K29</f>
        <v>Etiquette énergie</v>
      </c>
      <c r="T29" s="850"/>
      <c r="U29" s="850" t="str">
        <f>M29</f>
        <v>Etiquette climat</v>
      </c>
      <c r="V29" s="850"/>
      <c r="W29" s="5"/>
      <c r="X29" s="5"/>
      <c r="Y29" s="471"/>
    </row>
    <row r="30" spans="1:25" s="11" customFormat="1" x14ac:dyDescent="0.2">
      <c r="A30" s="47"/>
      <c r="B30" s="105" t="s">
        <v>72</v>
      </c>
      <c r="C30" s="467">
        <f>SUM(E23:E26)</f>
        <v>175.82545454545453</v>
      </c>
      <c r="D30" s="468" t="str">
        <f>IF(C$30&lt;=50,"A",IF(C$30&lt;=90,"B",IF(C$30&lt;=150,"C",IF(C$30&lt;=230,"D",IF(C$30&lt;=330,"E",IF(C$30&lt;=450,"F","G"))))))</f>
        <v>D</v>
      </c>
      <c r="E30" s="461">
        <f>SUM(F23:F26)</f>
        <v>48.643636363636361</v>
      </c>
      <c r="F30" s="3" t="str">
        <f>IF(E$30&lt;=5,"A",IF(E$30&lt;=10,"B",IF(E$30&lt;=20,"C",IF(E$30&lt;=35,"D",IF(E$30&lt;=55,"E",IF(E$30&lt;=80,"F","G"))))))</f>
        <v>E</v>
      </c>
      <c r="G30" s="23"/>
      <c r="H30" s="10"/>
      <c r="I30" s="10"/>
      <c r="J30" s="60"/>
      <c r="K30" s="467">
        <f>SUM(M23:M26)</f>
        <v>100.82545454545455</v>
      </c>
      <c r="L30" s="468" t="str">
        <f>IF(K$30&lt;=50,"A",IF(K$30&lt;=90,"B",IF(K$30&lt;=150,"C",IF(K$30&lt;=230,"D",IF(K$30&lt;=330,"E",IF(K$30&lt;=450,"F","G"))))))</f>
        <v>C</v>
      </c>
      <c r="M30" s="461">
        <f>SUM(N23:N26)</f>
        <v>20.665636363636359</v>
      </c>
      <c r="N30" s="3" t="str">
        <f>IF(M$30&lt;=5,"A",IF(M$30&lt;=10,"B",IF(M$30&lt;=20,"C",IF(M$30&lt;=35,"D",IF(M$30&lt;=55,"E",IF(M$30&lt;=80,"F","G"))))))</f>
        <v>D</v>
      </c>
      <c r="O30" s="471"/>
      <c r="P30" s="471"/>
      <c r="Q30" s="471"/>
      <c r="R30" s="60"/>
      <c r="S30" s="467">
        <f>SUM(U23:U26)</f>
        <v>100.82545454545455</v>
      </c>
      <c r="T30" s="468" t="str">
        <f>IF(S$30&lt;=50,"A",IF(S$30&lt;=90,"B",IF(S$30&lt;=150,"C",IF(S$30&lt;=230,"D",IF(S$30&lt;=330,"E",IF(S$30&lt;=450,"F","G"))))))</f>
        <v>C</v>
      </c>
      <c r="U30" s="461">
        <f>SUM(V23:V26)</f>
        <v>8.6306363636363645</v>
      </c>
      <c r="V30" s="3" t="str">
        <f>IF(U$30&lt;=5,"A",IF(U$30&lt;=10,"B",IF(U$30&lt;=20,"C",IF(U$30&lt;=35,"D",IF(U$30&lt;=55,"E",IF(U$30&lt;=80,"F","G"))))))</f>
        <v>B</v>
      </c>
      <c r="W30" s="471"/>
      <c r="X30" s="471"/>
      <c r="Y30" s="471"/>
    </row>
    <row r="31" spans="1:25" s="11" customFormat="1" x14ac:dyDescent="0.2">
      <c r="A31" s="47"/>
      <c r="B31" s="57"/>
      <c r="C31" s="5"/>
      <c r="D31" s="5"/>
      <c r="E31" s="5"/>
      <c r="F31" s="5"/>
      <c r="G31" s="5"/>
      <c r="H31" s="5"/>
      <c r="I31" s="5"/>
      <c r="J31" s="60"/>
      <c r="K31" s="5"/>
      <c r="L31" s="5"/>
      <c r="M31" s="5"/>
      <c r="N31" s="5"/>
      <c r="O31" s="5"/>
      <c r="P31" s="5"/>
      <c r="Q31" s="5"/>
      <c r="R31" s="60"/>
      <c r="S31" s="5"/>
      <c r="T31" s="5"/>
      <c r="U31" s="5"/>
      <c r="V31" s="5"/>
      <c r="W31" s="5"/>
      <c r="X31" s="5"/>
      <c r="Y31" s="5"/>
    </row>
    <row r="32" spans="1:25" s="11" customFormat="1" x14ac:dyDescent="0.2">
      <c r="A32" s="47"/>
      <c r="B32" s="389" t="s">
        <v>544</v>
      </c>
      <c r="C32" s="5"/>
      <c r="D32" s="5"/>
      <c r="E32" s="5"/>
      <c r="F32" s="5"/>
      <c r="G32" s="5"/>
      <c r="H32" s="5"/>
      <c r="I32" s="5"/>
      <c r="J32" s="60"/>
      <c r="K32" s="5"/>
      <c r="L32" s="5"/>
      <c r="M32" s="5"/>
      <c r="N32" s="5"/>
      <c r="O32" s="5"/>
      <c r="P32" s="5"/>
      <c r="Q32" s="5"/>
      <c r="R32" s="60"/>
      <c r="S32" s="5"/>
      <c r="T32" s="5"/>
      <c r="U32" s="5"/>
      <c r="V32" s="5"/>
      <c r="W32" s="5"/>
      <c r="X32" s="5"/>
      <c r="Y32" s="5"/>
    </row>
    <row r="33" spans="1:25" s="349" customFormat="1" ht="27" x14ac:dyDescent="0.2">
      <c r="A33" s="347"/>
      <c r="B33" s="348"/>
      <c r="C33" s="851" t="s">
        <v>32</v>
      </c>
      <c r="D33" s="849"/>
      <c r="E33" s="472" t="s">
        <v>51</v>
      </c>
      <c r="F33" s="472" t="s">
        <v>214</v>
      </c>
      <c r="G33" s="473" t="s">
        <v>612</v>
      </c>
      <c r="H33" s="473" t="s">
        <v>541</v>
      </c>
      <c r="I33" s="474"/>
      <c r="J33" s="350"/>
      <c r="K33" s="851" t="str">
        <f>C33</f>
        <v>Energie principale</v>
      </c>
      <c r="L33" s="849"/>
      <c r="M33" s="472" t="str">
        <f>E33</f>
        <v>Distribution</v>
      </c>
      <c r="N33" s="472" t="str">
        <f>F33</f>
        <v>Prix de l'énergie</v>
      </c>
      <c r="O33" s="473" t="str">
        <f>G33</f>
        <v>Coef conversion énergie primaire</v>
      </c>
      <c r="P33" s="473" t="str">
        <f>H33</f>
        <v>Coef conversion CO2</v>
      </c>
      <c r="Q33" s="474"/>
      <c r="R33" s="350"/>
      <c r="S33" s="851" t="str">
        <f>K33</f>
        <v>Energie principale</v>
      </c>
      <c r="T33" s="849"/>
      <c r="U33" s="472" t="str">
        <f>M33</f>
        <v>Distribution</v>
      </c>
      <c r="V33" s="472" t="str">
        <f>N33</f>
        <v>Prix de l'énergie</v>
      </c>
      <c r="W33" s="473" t="str">
        <f>O33</f>
        <v>Coef conversion énergie primaire</v>
      </c>
      <c r="X33" s="473" t="str">
        <f>P33</f>
        <v>Coef conversion CO2</v>
      </c>
      <c r="Y33" s="474"/>
    </row>
    <row r="34" spans="1:25" s="11" customFormat="1" x14ac:dyDescent="0.2">
      <c r="A34" s="47"/>
      <c r="B34" s="58" t="s">
        <v>33</v>
      </c>
      <c r="C34" s="839" t="s">
        <v>65</v>
      </c>
      <c r="D34" s="840"/>
      <c r="E34" s="475" t="s">
        <v>68</v>
      </c>
      <c r="F34" s="476">
        <f>IF(C34="","",VLOOKUP(C34,réf_énergie,2))</f>
        <v>8.8999999999999996E-2</v>
      </c>
      <c r="G34" s="477">
        <f>IF(C34="","",VLOOKUP(C34,réf_énergie,3))</f>
        <v>1</v>
      </c>
      <c r="H34" s="478">
        <f>IF(C34="","",VLOOKUP(C34,réf_énergie,4))</f>
        <v>0.3</v>
      </c>
      <c r="I34" s="5"/>
      <c r="J34" s="60"/>
      <c r="K34" s="839" t="s">
        <v>67</v>
      </c>
      <c r="L34" s="840"/>
      <c r="M34" s="475" t="str">
        <f>E34</f>
        <v>collectif</v>
      </c>
      <c r="N34" s="476">
        <f>IF(OR(K34="",K34=0),"",VLOOKUP(K34,réf_énergie,2))</f>
        <v>4.9000000000000002E-2</v>
      </c>
      <c r="O34" s="477">
        <f>IF(OR(K34="",K34=0),"",VLOOKUP(K34,réf_énergie,3))</f>
        <v>1</v>
      </c>
      <c r="P34" s="478">
        <f>IF(OR(K34="",K34=0),"",VLOOKUP(K34,réf_énergie,4))</f>
        <v>0.23400000000000001</v>
      </c>
      <c r="Q34" s="5"/>
      <c r="R34" s="60"/>
      <c r="S34" s="839" t="s">
        <v>496</v>
      </c>
      <c r="T34" s="840"/>
      <c r="U34" s="475" t="str">
        <f>M34</f>
        <v>collectif</v>
      </c>
      <c r="V34" s="476">
        <f>IF(S34="","",VLOOKUP(S34,réf_énergie,2))</f>
        <v>3.6988300000000002E-2</v>
      </c>
      <c r="W34" s="477">
        <f>IF(S34="","",VLOOKUP(S34,réf_énergie,3))</f>
        <v>1</v>
      </c>
      <c r="X34" s="478">
        <f>IF(S34="","",VLOOKUP(S34,réf_énergie,4))</f>
        <v>8.8999999999999996E-2</v>
      </c>
      <c r="Y34" s="5"/>
    </row>
    <row r="35" spans="1:25" s="11" customFormat="1" x14ac:dyDescent="0.2">
      <c r="A35" s="47"/>
      <c r="B35" s="58" t="s">
        <v>36</v>
      </c>
      <c r="C35" s="839" t="s">
        <v>65</v>
      </c>
      <c r="D35" s="840"/>
      <c r="E35" s="475" t="s">
        <v>68</v>
      </c>
      <c r="F35" s="476">
        <f>IF(C35="","",VLOOKUP(C35,réf_énergie,2))</f>
        <v>8.8999999999999996E-2</v>
      </c>
      <c r="G35" s="477">
        <f>IF(C35="","",VLOOKUP(C35,réf_énergie,3))</f>
        <v>1</v>
      </c>
      <c r="H35" s="478">
        <f>IF(C35="","",VLOOKUP(C35,réf_énergie,4))</f>
        <v>0.3</v>
      </c>
      <c r="I35" s="5"/>
      <c r="J35" s="60"/>
      <c r="K35" s="839" t="s">
        <v>67</v>
      </c>
      <c r="L35" s="840"/>
      <c r="M35" s="475" t="str">
        <f>E35</f>
        <v>collectif</v>
      </c>
      <c r="N35" s="476">
        <f>IF(OR(K35="",K35=0),"",VLOOKUP(K35,réf_énergie,2))</f>
        <v>4.9000000000000002E-2</v>
      </c>
      <c r="O35" s="477">
        <f>IF(OR(K35="",K35=0),"",VLOOKUP(K35,réf_énergie,3))</f>
        <v>1</v>
      </c>
      <c r="P35" s="478">
        <f>IF(OR(K35="",K35=0),"",VLOOKUP(K35,réf_énergie,4))</f>
        <v>0.23400000000000001</v>
      </c>
      <c r="Q35" s="5"/>
      <c r="R35" s="60"/>
      <c r="S35" s="839" t="s">
        <v>496</v>
      </c>
      <c r="T35" s="840"/>
      <c r="U35" s="475" t="str">
        <f>M35</f>
        <v>collectif</v>
      </c>
      <c r="V35" s="476">
        <f>IF(S35="","",VLOOKUP(S35,réf_énergie,2))</f>
        <v>3.6988300000000002E-2</v>
      </c>
      <c r="W35" s="477">
        <f>IF(S35="","",VLOOKUP(S35,réf_énergie,3))</f>
        <v>1</v>
      </c>
      <c r="X35" s="478">
        <f>IF(S35="","",VLOOKUP(S35,réf_énergie,4))</f>
        <v>8.8999999999999996E-2</v>
      </c>
      <c r="Y35" s="5"/>
    </row>
    <row r="36" spans="1:25" s="11" customFormat="1" x14ac:dyDescent="0.2">
      <c r="A36" s="47"/>
      <c r="B36" s="58" t="s">
        <v>37</v>
      </c>
      <c r="C36" s="839"/>
      <c r="D36" s="840"/>
      <c r="E36" s="475"/>
      <c r="F36" s="476" t="str">
        <f>IF(C36="","",VLOOKUP(C36,réf_énergie,2))</f>
        <v/>
      </c>
      <c r="G36" s="477" t="str">
        <f>IF(C36="","",VLOOKUP(C36,réf_énergie,3))</f>
        <v/>
      </c>
      <c r="H36" s="478" t="str">
        <f>IF(C36="","",VLOOKUP(C36,réf_énergie,4))</f>
        <v/>
      </c>
      <c r="I36" s="5"/>
      <c r="J36" s="60"/>
      <c r="K36" s="839">
        <f>C36</f>
        <v>0</v>
      </c>
      <c r="L36" s="840"/>
      <c r="M36" s="475">
        <f>E36</f>
        <v>0</v>
      </c>
      <c r="N36" s="476" t="str">
        <f>IF(OR(K36="",K36=0),"",VLOOKUP(K36,réf_énergie,2))</f>
        <v/>
      </c>
      <c r="O36" s="477" t="str">
        <f>IF(OR(K36="",K36=0),"",VLOOKUP(K36,réf_énergie,3))</f>
        <v/>
      </c>
      <c r="P36" s="478" t="str">
        <f>IF(OR(K36="",K36=0),"",VLOOKUP(K36,réf_énergie,4))</f>
        <v/>
      </c>
      <c r="Q36" s="5"/>
      <c r="R36" s="60"/>
      <c r="S36" s="839">
        <f>K36</f>
        <v>0</v>
      </c>
      <c r="T36" s="840"/>
      <c r="U36" s="475">
        <f>M36</f>
        <v>0</v>
      </c>
      <c r="V36" s="476" t="str">
        <f>IF(OR(S36="",S36=0),"",VLOOKUP(S36,réf_énergie,2))</f>
        <v/>
      </c>
      <c r="W36" s="477" t="str">
        <f>IF(OR(S36="",S36=0),"",VLOOKUP(S36,réf_énergie,3))</f>
        <v/>
      </c>
      <c r="X36" s="478" t="str">
        <f>IF(OR(S36="",S36=0),"",VLOOKUP(S36,réf_énergie,4))</f>
        <v/>
      </c>
      <c r="Y36" s="5"/>
    </row>
    <row r="37" spans="1:25" s="11" customFormat="1" x14ac:dyDescent="0.2">
      <c r="A37" s="47"/>
      <c r="B37" s="58" t="s">
        <v>38</v>
      </c>
      <c r="C37" s="835" t="s">
        <v>34</v>
      </c>
      <c r="D37" s="836"/>
      <c r="E37" s="475" t="s">
        <v>35</v>
      </c>
      <c r="F37" s="476">
        <f>IF(C37="","",VLOOKUP(C37,réf_énergie,2))</f>
        <v>0.14399999999999999</v>
      </c>
      <c r="G37" s="477">
        <f>IF(C37="","",VLOOKUP(C37,réf_énergie,3))</f>
        <v>2.58</v>
      </c>
      <c r="H37" s="478">
        <f>IF(C37="","",VLOOKUP(C37,réf_énergie,4))</f>
        <v>0.18</v>
      </c>
      <c r="I37" s="5"/>
      <c r="J37" s="60"/>
      <c r="K37" s="835" t="s">
        <v>34</v>
      </c>
      <c r="L37" s="836"/>
      <c r="M37" s="475" t="str">
        <f>E37</f>
        <v>individuel</v>
      </c>
      <c r="N37" s="476">
        <f>IF(K37="","",VLOOKUP(K37,réf_énergie,2))</f>
        <v>0.14399999999999999</v>
      </c>
      <c r="O37" s="477">
        <f>IF(K37="","",VLOOKUP(K37,réf_énergie,3))</f>
        <v>2.58</v>
      </c>
      <c r="P37" s="478">
        <f>IF(K37="","",VLOOKUP(K37,réf_énergie,4))</f>
        <v>0.18</v>
      </c>
      <c r="Q37" s="5"/>
      <c r="R37" s="60"/>
      <c r="S37" s="835" t="s">
        <v>34</v>
      </c>
      <c r="T37" s="836"/>
      <c r="U37" s="475" t="str">
        <f>M37</f>
        <v>individuel</v>
      </c>
      <c r="V37" s="476">
        <f>IF(S37="","",VLOOKUP(S37,réf_énergie,2))</f>
        <v>0.14399999999999999</v>
      </c>
      <c r="W37" s="477">
        <f>IF(S37="","",VLOOKUP(S37,réf_énergie,3))</f>
        <v>2.58</v>
      </c>
      <c r="X37" s="478">
        <f>IF(S37="","",VLOOKUP(S37,réf_énergie,4))</f>
        <v>0.18</v>
      </c>
      <c r="Y37" s="5"/>
    </row>
    <row r="38" spans="1:25" s="11" customFormat="1" x14ac:dyDescent="0.2">
      <c r="A38" s="47"/>
      <c r="B38" s="57"/>
      <c r="C38" s="5"/>
      <c r="D38" s="5"/>
      <c r="E38" s="5"/>
      <c r="F38" s="5"/>
      <c r="G38" s="5"/>
      <c r="H38" s="5"/>
      <c r="I38" s="5"/>
      <c r="J38" s="60"/>
      <c r="K38" s="5"/>
      <c r="L38" s="5"/>
      <c r="M38" s="5"/>
      <c r="N38" s="5"/>
      <c r="O38" s="5"/>
      <c r="P38" s="5"/>
      <c r="Q38" s="5"/>
      <c r="R38" s="60"/>
      <c r="S38" s="5"/>
      <c r="T38" s="5"/>
      <c r="U38" s="5"/>
      <c r="V38" s="5"/>
      <c r="W38" s="5"/>
      <c r="X38" s="5"/>
      <c r="Y38" s="5"/>
    </row>
    <row r="39" spans="1:25" s="11" customFormat="1" x14ac:dyDescent="0.2">
      <c r="A39" s="47"/>
      <c r="B39" s="389" t="s">
        <v>545</v>
      </c>
      <c r="C39" s="5"/>
      <c r="D39" s="5"/>
      <c r="E39" s="5"/>
      <c r="F39" s="5"/>
      <c r="G39" s="5"/>
      <c r="H39" s="5"/>
      <c r="I39" s="5"/>
      <c r="J39" s="60"/>
      <c r="K39" s="5"/>
      <c r="L39" s="5"/>
      <c r="M39" s="5"/>
      <c r="N39" s="5"/>
      <c r="O39" s="5"/>
      <c r="P39" s="5"/>
      <c r="Q39" s="5"/>
      <c r="R39" s="60"/>
      <c r="S39" s="5"/>
      <c r="T39" s="5"/>
      <c r="U39" s="5"/>
      <c r="V39" s="5"/>
      <c r="W39" s="5"/>
      <c r="X39" s="5"/>
      <c r="Y39" s="5"/>
    </row>
    <row r="40" spans="1:25" s="345" customFormat="1" ht="38.25" x14ac:dyDescent="0.2">
      <c r="A40" s="343"/>
      <c r="B40" s="59" t="s">
        <v>621</v>
      </c>
      <c r="C40" s="833" t="s">
        <v>314</v>
      </c>
      <c r="D40" s="834"/>
      <c r="E40" s="472" t="s">
        <v>518</v>
      </c>
      <c r="F40" s="472" t="s">
        <v>538</v>
      </c>
      <c r="G40" s="5"/>
      <c r="H40" s="5"/>
      <c r="I40" s="5"/>
      <c r="J40" s="346"/>
      <c r="K40" s="833" t="str">
        <f>C40</f>
        <v>Abonnements collectifs</v>
      </c>
      <c r="L40" s="834"/>
      <c r="M40" s="537" t="s">
        <v>316</v>
      </c>
      <c r="N40" s="537" t="s">
        <v>538</v>
      </c>
      <c r="O40" s="5"/>
      <c r="P40" s="5"/>
      <c r="Q40" s="5"/>
      <c r="R40" s="346"/>
      <c r="S40" s="833" t="str">
        <f>K40</f>
        <v>Abonnements collectifs</v>
      </c>
      <c r="T40" s="834"/>
      <c r="U40" s="537" t="s">
        <v>316</v>
      </c>
      <c r="V40" s="537" t="s">
        <v>538</v>
      </c>
      <c r="W40" s="5"/>
      <c r="X40" s="5"/>
      <c r="Y40" s="5"/>
    </row>
    <row r="41" spans="1:25" s="11" customFormat="1" ht="12.75" customHeight="1" x14ac:dyDescent="0.2">
      <c r="A41" s="47"/>
      <c r="B41" s="59" t="s">
        <v>580</v>
      </c>
      <c r="C41" s="829" t="s">
        <v>582</v>
      </c>
      <c r="D41" s="830"/>
      <c r="E41" s="479">
        <f>IF(OR(C41="",C41=0),0,VLOOKUP(C41,Prix_abonnement_collectif,2))</f>
        <v>232.62</v>
      </c>
      <c r="F41" s="450">
        <v>1</v>
      </c>
      <c r="G41" s="5"/>
      <c r="H41" s="5"/>
      <c r="I41" s="5"/>
      <c r="J41" s="60"/>
      <c r="K41" s="829" t="str">
        <f>C41</f>
        <v>Collectif - Electrique - Bleu Base - 18 kVA</v>
      </c>
      <c r="L41" s="830"/>
      <c r="M41" s="479">
        <f>IF(OR(K41="",K41=0),0,VLOOKUP(K41,Prix_abonnement_collectif,2))</f>
        <v>232.62</v>
      </c>
      <c r="N41" s="450">
        <f>F41</f>
        <v>1</v>
      </c>
      <c r="O41" s="5"/>
      <c r="P41" s="5"/>
      <c r="Q41" s="5"/>
      <c r="R41" s="60"/>
      <c r="S41" s="829" t="str">
        <f>K41</f>
        <v>Collectif - Electrique - Bleu Base - 18 kVA</v>
      </c>
      <c r="T41" s="830"/>
      <c r="U41" s="479">
        <f>IF(OR(S41="",S41=0),0,VLOOKUP(S41,Prix_abonnement_collectif,2))</f>
        <v>232.62</v>
      </c>
      <c r="V41" s="450">
        <f>N41</f>
        <v>1</v>
      </c>
      <c r="W41" s="5"/>
      <c r="X41" s="5"/>
      <c r="Y41" s="5"/>
    </row>
    <row r="42" spans="1:25" s="11" customFormat="1" ht="12.75" customHeight="1" x14ac:dyDescent="0.2">
      <c r="A42" s="47"/>
      <c r="B42" s="59" t="s">
        <v>579</v>
      </c>
      <c r="C42" s="829" t="s">
        <v>572</v>
      </c>
      <c r="D42" s="830"/>
      <c r="E42" s="479">
        <f>IF(OR(C42="",C42=0),0,VLOOKUP(C42,Prix_abonnement_collectif,2))</f>
        <v>114.63</v>
      </c>
      <c r="F42" s="450">
        <v>1</v>
      </c>
      <c r="G42" s="5"/>
      <c r="H42" s="5"/>
      <c r="I42" s="5"/>
      <c r="J42" s="60"/>
      <c r="K42" s="829" t="str">
        <f>C42</f>
        <v>Collectif - Electrique - Bleu Base - 09 kVA</v>
      </c>
      <c r="L42" s="830"/>
      <c r="M42" s="479">
        <f>IF(OR(K42="",K42=0),0,VLOOKUP(K42,Prix_abonnement_collectif,2))</f>
        <v>114.63</v>
      </c>
      <c r="N42" s="450">
        <f>F42</f>
        <v>1</v>
      </c>
      <c r="O42" s="5"/>
      <c r="P42" s="5"/>
      <c r="Q42" s="5"/>
      <c r="R42" s="60"/>
      <c r="S42" s="829" t="str">
        <f>K42</f>
        <v>Collectif - Electrique - Bleu Base - 09 kVA</v>
      </c>
      <c r="T42" s="830"/>
      <c r="U42" s="479">
        <f>IF(OR(S42="",S42=0),0,VLOOKUP(S42,Prix_abonnement_collectif,2))</f>
        <v>114.63</v>
      </c>
      <c r="V42" s="450">
        <f>N42</f>
        <v>1</v>
      </c>
      <c r="W42" s="5"/>
      <c r="X42" s="5"/>
      <c r="Y42" s="5"/>
    </row>
    <row r="43" spans="1:25" s="11" customFormat="1" ht="12.75" customHeight="1" x14ac:dyDescent="0.2">
      <c r="A43" s="47"/>
      <c r="B43" s="59" t="s">
        <v>615</v>
      </c>
      <c r="C43" s="829"/>
      <c r="D43" s="830"/>
      <c r="E43" s="479">
        <f>IF(OR(C43="",C43=0),0,VLOOKUP(C43,Prix_abonnement_collectif,2))</f>
        <v>0</v>
      </c>
      <c r="F43" s="450"/>
      <c r="G43" s="5"/>
      <c r="H43" s="5"/>
      <c r="I43" s="5"/>
      <c r="J43" s="60"/>
      <c r="K43" s="829">
        <f>C43</f>
        <v>0</v>
      </c>
      <c r="L43" s="830"/>
      <c r="M43" s="479">
        <f>IF(OR(K43="",K43=0),0,VLOOKUP(K43,Prix_abonnement_collectif,2))</f>
        <v>0</v>
      </c>
      <c r="N43" s="450">
        <f>F43</f>
        <v>0</v>
      </c>
      <c r="O43" s="5"/>
      <c r="P43" s="5"/>
      <c r="Q43" s="5"/>
      <c r="R43" s="60"/>
      <c r="S43" s="829">
        <f>K43</f>
        <v>0</v>
      </c>
      <c r="T43" s="830"/>
      <c r="U43" s="479">
        <f>IF(OR(S43="",S43=0),0,VLOOKUP(S43,Prix_abonnement_collectif,2))</f>
        <v>0</v>
      </c>
      <c r="V43" s="450">
        <f>N43</f>
        <v>0</v>
      </c>
      <c r="W43" s="5"/>
      <c r="X43" s="5"/>
      <c r="Y43" s="5"/>
    </row>
    <row r="44" spans="1:25" s="11" customFormat="1" ht="12.75" customHeight="1" thickBot="1" x14ac:dyDescent="0.25">
      <c r="A44" s="47"/>
      <c r="B44" s="563" t="s">
        <v>616</v>
      </c>
      <c r="C44" s="842"/>
      <c r="D44" s="843"/>
      <c r="E44" s="564">
        <f>IF(OR(C44="",C44=0),0,VLOOKUP(C44,Prix_abonnement_collectif,2))</f>
        <v>0</v>
      </c>
      <c r="F44" s="450"/>
      <c r="G44" s="5"/>
      <c r="H44" s="5"/>
      <c r="I44" s="5"/>
      <c r="J44" s="60"/>
      <c r="K44" s="842">
        <f>C44</f>
        <v>0</v>
      </c>
      <c r="L44" s="843"/>
      <c r="M44" s="564">
        <f>IF(OR(K44="",K44=0),0,VLOOKUP(K44,Prix_abonnement_collectif,2))</f>
        <v>0</v>
      </c>
      <c r="N44" s="450">
        <f>F44</f>
        <v>0</v>
      </c>
      <c r="O44" s="5"/>
      <c r="P44" s="5"/>
      <c r="Q44" s="5"/>
      <c r="R44" s="60"/>
      <c r="S44" s="842">
        <f>K44</f>
        <v>0</v>
      </c>
      <c r="T44" s="843"/>
      <c r="U44" s="564">
        <f>IF(OR(S44="",S44=0),0,VLOOKUP(S44,Prix_abonnement_collectif,2))</f>
        <v>0</v>
      </c>
      <c r="V44" s="450">
        <f>N44</f>
        <v>0</v>
      </c>
      <c r="W44" s="5"/>
      <c r="X44" s="5"/>
      <c r="Y44" s="5"/>
    </row>
    <row r="45" spans="1:25" s="11" customFormat="1" ht="13.5" thickTop="1" x14ac:dyDescent="0.2">
      <c r="A45" s="47"/>
      <c r="B45" s="565" t="s">
        <v>87</v>
      </c>
      <c r="C45" s="837"/>
      <c r="D45" s="838"/>
      <c r="E45" s="566">
        <f>E41*F41+E42*F42+E43*F43+E44*F44</f>
        <v>347.25</v>
      </c>
      <c r="F45" s="5"/>
      <c r="G45" s="5"/>
      <c r="H45" s="5"/>
      <c r="I45" s="5"/>
      <c r="J45" s="60"/>
      <c r="K45" s="5"/>
      <c r="L45" s="5"/>
      <c r="M45" s="566">
        <f>M41*N41+M42*N42+M43*N43+M44*N44</f>
        <v>347.25</v>
      </c>
      <c r="N45" s="5"/>
      <c r="O45" s="5"/>
      <c r="P45" s="5"/>
      <c r="Q45" s="5"/>
      <c r="R45" s="60"/>
      <c r="S45" s="5"/>
      <c r="T45" s="5"/>
      <c r="U45" s="566">
        <f>U41*V41+U42*V42+U43*V43+U44*V44</f>
        <v>347.25</v>
      </c>
      <c r="V45" s="5"/>
      <c r="W45" s="5"/>
      <c r="X45" s="5"/>
      <c r="Y45" s="5"/>
    </row>
    <row r="46" spans="1:25" s="345" customFormat="1" ht="38.25" x14ac:dyDescent="0.2">
      <c r="A46" s="343"/>
      <c r="B46" s="59" t="s">
        <v>622</v>
      </c>
      <c r="C46" s="833" t="s">
        <v>315</v>
      </c>
      <c r="D46" s="834"/>
      <c r="E46" s="472" t="s">
        <v>518</v>
      </c>
      <c r="F46" s="537" t="s">
        <v>538</v>
      </c>
      <c r="G46" s="5"/>
      <c r="H46" s="5"/>
      <c r="I46" s="5"/>
      <c r="J46" s="346"/>
      <c r="K46" s="833" t="str">
        <f>C46</f>
        <v>Abonnements individuels</v>
      </c>
      <c r="L46" s="834"/>
      <c r="M46" s="537" t="s">
        <v>313</v>
      </c>
      <c r="N46" s="537" t="s">
        <v>538</v>
      </c>
      <c r="O46" s="5"/>
      <c r="P46" s="5"/>
      <c r="Q46" s="5"/>
      <c r="R46" s="346"/>
      <c r="S46" s="833" t="str">
        <f>K46</f>
        <v>Abonnements individuels</v>
      </c>
      <c r="T46" s="834"/>
      <c r="U46" s="537" t="s">
        <v>313</v>
      </c>
      <c r="V46" s="537" t="s">
        <v>538</v>
      </c>
      <c r="W46" s="5"/>
      <c r="X46" s="5"/>
      <c r="Y46" s="5"/>
    </row>
    <row r="47" spans="1:25" s="11" customFormat="1" ht="12.75" customHeight="1" x14ac:dyDescent="0.2">
      <c r="A47" s="47"/>
      <c r="B47" s="59" t="s">
        <v>617</v>
      </c>
      <c r="C47" s="829" t="s">
        <v>445</v>
      </c>
      <c r="D47" s="830"/>
      <c r="E47" s="479">
        <f>IF(OR(C47="",C47=0),0,VLOOKUP(C47,Prix_abonnement_individuel,2))</f>
        <v>123.95</v>
      </c>
      <c r="F47" s="450">
        <f>NB_Logement</f>
        <v>46</v>
      </c>
      <c r="G47" s="5"/>
      <c r="H47" s="5"/>
      <c r="I47" s="5"/>
      <c r="J47" s="60"/>
      <c r="K47" s="829" t="str">
        <f>C47</f>
        <v>Individuel - Electrique - Bleu HC - 09 kVA</v>
      </c>
      <c r="L47" s="830"/>
      <c r="M47" s="479">
        <f>IF(OR(K47="",K47=0),0,VLOOKUP(K47,Prix_abonnement_individuel,2))</f>
        <v>123.95</v>
      </c>
      <c r="N47" s="450">
        <f>F47</f>
        <v>46</v>
      </c>
      <c r="O47" s="5"/>
      <c r="P47" s="5"/>
      <c r="Q47" s="5"/>
      <c r="R47" s="60"/>
      <c r="S47" s="829" t="str">
        <f>K47</f>
        <v>Individuel - Electrique - Bleu HC - 09 kVA</v>
      </c>
      <c r="T47" s="830"/>
      <c r="U47" s="479">
        <f>IF(OR(S47="",S47=0),0,VLOOKUP(S47,Prix_abonnement_individuel,2))</f>
        <v>123.95</v>
      </c>
      <c r="V47" s="450">
        <f>N47</f>
        <v>46</v>
      </c>
      <c r="W47" s="5"/>
      <c r="X47" s="5"/>
      <c r="Y47" s="5"/>
    </row>
    <row r="48" spans="1:25" s="11" customFormat="1" ht="12.75" customHeight="1" x14ac:dyDescent="0.2">
      <c r="A48" s="47"/>
      <c r="B48" s="59" t="s">
        <v>618</v>
      </c>
      <c r="C48" s="829"/>
      <c r="D48" s="830"/>
      <c r="E48" s="479">
        <f>IF(OR(C48="",C48=0),0,VLOOKUP(C48,Prix_abonnement_individuel,2))</f>
        <v>0</v>
      </c>
      <c r="F48" s="450">
        <f>NB_Logement</f>
        <v>46</v>
      </c>
      <c r="G48" s="5"/>
      <c r="H48" s="5"/>
      <c r="I48" s="5"/>
      <c r="J48" s="60"/>
      <c r="K48" s="829">
        <f>C48</f>
        <v>0</v>
      </c>
      <c r="L48" s="830"/>
      <c r="M48" s="479">
        <f>IF(OR(K48="",K48=0),0,VLOOKUP(K48,Prix_abonnement_individuel,2))</f>
        <v>0</v>
      </c>
      <c r="N48" s="450">
        <f>F48</f>
        <v>46</v>
      </c>
      <c r="O48" s="5"/>
      <c r="P48" s="5"/>
      <c r="Q48" s="5"/>
      <c r="R48" s="60"/>
      <c r="S48" s="829">
        <f>K48</f>
        <v>0</v>
      </c>
      <c r="T48" s="830"/>
      <c r="U48" s="479">
        <f>IF(OR(S48="",S48=0),0,VLOOKUP(S48,Prix_abonnement_individuel,2))</f>
        <v>0</v>
      </c>
      <c r="V48" s="450">
        <f>N48</f>
        <v>46</v>
      </c>
      <c r="W48" s="5"/>
      <c r="X48" s="5"/>
      <c r="Y48" s="5"/>
    </row>
    <row r="49" spans="1:25" s="11" customFormat="1" ht="12.75" customHeight="1" x14ac:dyDescent="0.2">
      <c r="A49" s="47"/>
      <c r="B49" s="59" t="s">
        <v>619</v>
      </c>
      <c r="C49" s="831"/>
      <c r="D49" s="832"/>
      <c r="E49" s="479">
        <f>IF(OR(C49="",C49=0),0,VLOOKUP(C49,Prix_abonnement_individuel,2))</f>
        <v>0</v>
      </c>
      <c r="F49" s="450">
        <f>NB_Logement</f>
        <v>46</v>
      </c>
      <c r="G49" s="5"/>
      <c r="H49" s="5"/>
      <c r="I49" s="5"/>
      <c r="J49" s="60"/>
      <c r="K49" s="831">
        <f>C49</f>
        <v>0</v>
      </c>
      <c r="L49" s="832"/>
      <c r="M49" s="479">
        <f>IF(OR(K49="",K49=0),0,VLOOKUP(K49,Prix_abonnement_individuel,2))</f>
        <v>0</v>
      </c>
      <c r="N49" s="450">
        <f>F49</f>
        <v>46</v>
      </c>
      <c r="O49" s="5"/>
      <c r="P49" s="5"/>
      <c r="Q49" s="5"/>
      <c r="R49" s="60"/>
      <c r="S49" s="831">
        <f>K49</f>
        <v>0</v>
      </c>
      <c r="T49" s="832"/>
      <c r="U49" s="479">
        <f>IF(OR(S49="",S49=0),0,VLOOKUP(S49,Prix_abonnement_individuel,2))</f>
        <v>0</v>
      </c>
      <c r="V49" s="450">
        <f>N49</f>
        <v>46</v>
      </c>
      <c r="W49" s="5"/>
      <c r="X49" s="5"/>
      <c r="Y49" s="5"/>
    </row>
    <row r="50" spans="1:25" s="11" customFormat="1" ht="13.9" customHeight="1" thickBot="1" x14ac:dyDescent="0.25">
      <c r="A50" s="47"/>
      <c r="B50" s="563" t="s">
        <v>620</v>
      </c>
      <c r="C50" s="841"/>
      <c r="D50" s="842"/>
      <c r="E50" s="479">
        <f>IF(OR(C50="",C50=0),0,VLOOKUP(C50,Prix_abonnement_individuel,2))</f>
        <v>0</v>
      </c>
      <c r="F50" s="450">
        <f>NB_Logement</f>
        <v>46</v>
      </c>
      <c r="G50" s="5"/>
      <c r="H50" s="5"/>
      <c r="I50" s="5"/>
      <c r="J50" s="60"/>
      <c r="K50" s="841">
        <f>C50</f>
        <v>0</v>
      </c>
      <c r="L50" s="842"/>
      <c r="M50" s="564">
        <f>IF(OR(K50="",K50=0),0,VLOOKUP(K50,Prix_abonnement_individuel,2))</f>
        <v>0</v>
      </c>
      <c r="N50" s="450">
        <f>F50</f>
        <v>46</v>
      </c>
      <c r="O50" s="5"/>
      <c r="P50" s="5"/>
      <c r="Q50" s="5"/>
      <c r="R50" s="60"/>
      <c r="S50" s="841">
        <f>K50</f>
        <v>0</v>
      </c>
      <c r="T50" s="842"/>
      <c r="U50" s="564">
        <f>IF(OR(S50="",S50=0),0,VLOOKUP(S50,Prix_abonnement_individuel,2))</f>
        <v>0</v>
      </c>
      <c r="V50" s="450">
        <f>N50</f>
        <v>46</v>
      </c>
      <c r="W50" s="5"/>
      <c r="X50" s="5"/>
      <c r="Y50" s="5"/>
    </row>
    <row r="51" spans="1:25" s="11" customFormat="1" ht="13.5" thickTop="1" x14ac:dyDescent="0.2">
      <c r="A51" s="47"/>
      <c r="B51" s="565" t="s">
        <v>199</v>
      </c>
      <c r="C51" s="837"/>
      <c r="D51" s="838"/>
      <c r="E51" s="566">
        <f>E47*F47+E48*F48+E49*F49+E50*F50</f>
        <v>5701.7</v>
      </c>
      <c r="F51" s="5"/>
      <c r="G51" s="5"/>
      <c r="H51" s="5"/>
      <c r="I51" s="5"/>
      <c r="J51" s="60"/>
      <c r="K51" s="835"/>
      <c r="L51" s="836"/>
      <c r="M51" s="566">
        <f>M47*N47+M48*N48+M49*N49+M50*N50</f>
        <v>5701.7</v>
      </c>
      <c r="N51" s="5"/>
      <c r="O51" s="5"/>
      <c r="P51" s="5"/>
      <c r="Q51" s="5"/>
      <c r="R51" s="60"/>
      <c r="S51" s="835"/>
      <c r="T51" s="836"/>
      <c r="U51" s="566">
        <f>U47*V47+U48*V48+U49*V49+U50*V50</f>
        <v>5701.7</v>
      </c>
      <c r="V51" s="5"/>
      <c r="W51" s="5"/>
      <c r="X51" s="5"/>
      <c r="Y51" s="5"/>
    </row>
    <row r="52" spans="1:25" s="11" customFormat="1" x14ac:dyDescent="0.2">
      <c r="A52" s="47"/>
      <c r="B52" s="57"/>
      <c r="C52" s="5"/>
      <c r="D52" s="5"/>
      <c r="E52" s="5"/>
      <c r="F52" s="5"/>
      <c r="G52" s="5"/>
      <c r="H52" s="5"/>
      <c r="I52" s="5"/>
      <c r="J52" s="60"/>
      <c r="K52" s="5"/>
      <c r="L52" s="5"/>
      <c r="M52" s="5"/>
      <c r="N52" s="5"/>
      <c r="O52" s="5"/>
      <c r="P52" s="5"/>
      <c r="Q52" s="5"/>
      <c r="R52" s="60"/>
      <c r="S52" s="5"/>
      <c r="T52" s="5"/>
      <c r="U52" s="5"/>
      <c r="V52" s="5"/>
      <c r="W52" s="5"/>
      <c r="X52" s="5"/>
      <c r="Y52" s="5"/>
    </row>
    <row r="53" spans="1:25" s="11" customFormat="1" ht="13.5" thickBot="1" x14ac:dyDescent="0.25">
      <c r="A53" s="429"/>
      <c r="B53" s="430" t="s">
        <v>531</v>
      </c>
      <c r="C53" s="480" t="str">
        <f>C5</f>
        <v>EXISTANT</v>
      </c>
      <c r="D53" s="480"/>
      <c r="E53" s="480"/>
      <c r="F53" s="431"/>
      <c r="G53" s="431"/>
      <c r="H53" s="480"/>
      <c r="I53" s="480"/>
      <c r="J53" s="432"/>
      <c r="K53" s="480" t="str">
        <f>K5</f>
        <v>PROJET 1</v>
      </c>
      <c r="L53" s="480"/>
      <c r="M53" s="480"/>
      <c r="N53" s="431"/>
      <c r="O53" s="431"/>
      <c r="P53" s="480"/>
      <c r="Q53" s="480"/>
      <c r="R53" s="432"/>
      <c r="S53" s="480" t="str">
        <f>S5</f>
        <v>PROJET 2</v>
      </c>
      <c r="T53" s="480"/>
      <c r="U53" s="480"/>
      <c r="V53" s="431"/>
      <c r="W53" s="431"/>
      <c r="X53" s="480"/>
      <c r="Y53" s="480"/>
    </row>
    <row r="54" spans="1:25" s="11" customFormat="1" x14ac:dyDescent="0.2">
      <c r="A54" s="61"/>
      <c r="B54" s="62"/>
      <c r="C54" s="99"/>
      <c r="D54" s="99"/>
      <c r="E54" s="99"/>
      <c r="F54" s="99"/>
      <c r="G54" s="99"/>
      <c r="H54" s="99"/>
      <c r="I54" s="99"/>
      <c r="J54" s="64"/>
      <c r="K54" s="99"/>
      <c r="L54" s="99"/>
      <c r="M54" s="99"/>
      <c r="N54" s="99"/>
      <c r="O54" s="99"/>
      <c r="P54" s="99"/>
      <c r="Q54" s="99"/>
      <c r="R54" s="64"/>
      <c r="S54" s="99"/>
      <c r="T54" s="99"/>
      <c r="U54" s="99"/>
      <c r="V54" s="99"/>
      <c r="W54" s="99"/>
      <c r="X54" s="99"/>
      <c r="Y54" s="99"/>
    </row>
    <row r="55" spans="1:25" s="11" customFormat="1" x14ac:dyDescent="0.2">
      <c r="A55" s="47"/>
      <c r="B55" s="389" t="s">
        <v>546</v>
      </c>
      <c r="C55" s="5"/>
      <c r="D55" s="5"/>
      <c r="E55" s="5"/>
      <c r="F55" s="46"/>
      <c r="G55" s="46"/>
      <c r="H55" s="9"/>
      <c r="I55" s="5"/>
      <c r="J55" s="60"/>
      <c r="K55" s="5"/>
      <c r="L55" s="5"/>
      <c r="M55" s="5"/>
      <c r="N55" s="46"/>
      <c r="O55" s="46"/>
      <c r="P55" s="9"/>
      <c r="Q55" s="5"/>
      <c r="R55" s="60"/>
      <c r="S55" s="5"/>
      <c r="T55" s="5"/>
      <c r="U55" s="5"/>
      <c r="V55" s="46"/>
      <c r="W55" s="46"/>
      <c r="X55" s="9"/>
      <c r="Y55" s="5"/>
    </row>
    <row r="56" spans="1:25" s="345" customFormat="1" ht="25.5" x14ac:dyDescent="0.2">
      <c r="A56" s="343"/>
      <c r="B56" s="105" t="s">
        <v>623</v>
      </c>
      <c r="C56" s="590" t="s">
        <v>624</v>
      </c>
      <c r="D56" s="482" t="s">
        <v>625</v>
      </c>
      <c r="E56" s="5"/>
      <c r="F56" s="46"/>
      <c r="G56" s="46"/>
      <c r="H56" s="5"/>
      <c r="I56" s="5"/>
      <c r="J56" s="346"/>
      <c r="K56" s="481" t="str">
        <f>C56</f>
        <v>Ratio du coût des énergies</v>
      </c>
      <c r="L56" s="482" t="str">
        <f>D56</f>
        <v>Coût des abonnements</v>
      </c>
      <c r="M56" s="5"/>
      <c r="N56" s="46"/>
      <c r="O56" s="46"/>
      <c r="P56" s="5"/>
      <c r="Q56" s="5"/>
      <c r="R56" s="346"/>
      <c r="S56" s="481" t="str">
        <f>K56</f>
        <v>Ratio du coût des énergies</v>
      </c>
      <c r="T56" s="482" t="str">
        <f>L56</f>
        <v>Coût des abonnements</v>
      </c>
      <c r="U56" s="5"/>
      <c r="V56" s="46"/>
      <c r="W56" s="46"/>
      <c r="X56" s="5"/>
      <c r="Y56" s="5"/>
    </row>
    <row r="57" spans="1:25" s="11" customFormat="1" x14ac:dyDescent="0.2">
      <c r="A57" s="47"/>
      <c r="B57" s="58" t="s">
        <v>626</v>
      </c>
      <c r="C57" s="483">
        <f>+IF(E34="collectif",D23*F34,0)+IF(E35="collectif",D24*F35,0)+IF(E36="collectif",D25*F36,0)+IF(E37="collectif",D26*F37,0)</f>
        <v>14.061999999999999</v>
      </c>
      <c r="D57" s="484">
        <f>E45</f>
        <v>347.25</v>
      </c>
      <c r="E57" s="5"/>
      <c r="F57" s="46"/>
      <c r="G57" s="46"/>
      <c r="H57" s="5"/>
      <c r="I57" s="5"/>
      <c r="J57" s="60"/>
      <c r="K57" s="483">
        <f>+IF(M34="collectif",L23*N34,0)+IF(M35="collectif",L24*N35,0)+IF(M36="collectif",L25*N36,0)+IF(M37="collectif",L26*N37,0)</f>
        <v>4.0670000000000002</v>
      </c>
      <c r="L57" s="484">
        <f>M45</f>
        <v>347.25</v>
      </c>
      <c r="M57" s="5"/>
      <c r="N57" s="46"/>
      <c r="O57" s="46"/>
      <c r="P57" s="5"/>
      <c r="Q57" s="5"/>
      <c r="R57" s="60"/>
      <c r="S57" s="483">
        <f>+IF(U34="collectif",T23*V34,0)+IF(U35="collectif",T24*V35,0)+IF(U36="collectif",T25*V36,0)+IF(U37="collectif",T26*V37,0)</f>
        <v>3.0700289000000005</v>
      </c>
      <c r="T57" s="484">
        <f>U45</f>
        <v>347.25</v>
      </c>
      <c r="U57" s="5"/>
      <c r="V57" s="46"/>
      <c r="W57" s="46"/>
      <c r="X57" s="5"/>
      <c r="Y57" s="5"/>
    </row>
    <row r="58" spans="1:25" s="11" customFormat="1" ht="13.5" thickBot="1" x14ac:dyDescent="0.25">
      <c r="A58" s="47"/>
      <c r="B58" s="591" t="s">
        <v>627</v>
      </c>
      <c r="C58" s="592">
        <f>+IF(E34="individuel",D23*F34,0)+IF(E35="individuel",D24*F35,0)+IF(E36="individuel",D25*F36,0)+IF(E37="individuel",D26*F37,0)</f>
        <v>0.99490909090909085</v>
      </c>
      <c r="D58" s="593">
        <f>E51</f>
        <v>5701.7</v>
      </c>
      <c r="E58" s="5"/>
      <c r="F58" s="46"/>
      <c r="G58" s="46"/>
      <c r="H58" s="5"/>
      <c r="I58" s="5"/>
      <c r="J58" s="60"/>
      <c r="K58" s="592">
        <f>+IF(M34="individuel",L23*N34,0)+IF(M35="individuel",L24*N35,0)+IF(M36="individuel",L25*N36,0)+IF(M37="individuel",L26*N37,0)</f>
        <v>0.99490909090909085</v>
      </c>
      <c r="L58" s="593">
        <f>M51</f>
        <v>5701.7</v>
      </c>
      <c r="M58" s="5"/>
      <c r="N58" s="46"/>
      <c r="O58" s="46"/>
      <c r="P58" s="5"/>
      <c r="Q58" s="5"/>
      <c r="R58" s="60"/>
      <c r="S58" s="592">
        <f>+IF(U34="individuel",T23*V34,0)+IF(U35="individuel",T24*V35,0)+IF(U36="individuel",T25*V36,0)+IF(U37="individuel",T26*V37,0)</f>
        <v>0.99490909090909085</v>
      </c>
      <c r="T58" s="593">
        <f>U51</f>
        <v>5701.7</v>
      </c>
      <c r="U58" s="5"/>
      <c r="V58" s="46"/>
      <c r="W58" s="46"/>
      <c r="X58" s="5"/>
      <c r="Y58" s="5"/>
    </row>
    <row r="59" spans="1:25" s="11" customFormat="1" ht="13.5" thickTop="1" x14ac:dyDescent="0.2">
      <c r="A59" s="47"/>
      <c r="B59" s="243" t="s">
        <v>629</v>
      </c>
      <c r="C59" s="594">
        <f>+C58+C57</f>
        <v>15.056909090909091</v>
      </c>
      <c r="D59" s="595">
        <f>+D57+D58</f>
        <v>6048.95</v>
      </c>
      <c r="E59" s="5"/>
      <c r="F59" s="46"/>
      <c r="G59" s="46"/>
      <c r="H59" s="5"/>
      <c r="I59" s="5"/>
      <c r="J59" s="60"/>
      <c r="K59" s="594">
        <f>+K58+K57</f>
        <v>5.0619090909090909</v>
      </c>
      <c r="L59" s="595">
        <f>+L57+L58</f>
        <v>6048.95</v>
      </c>
      <c r="M59" s="5"/>
      <c r="N59" s="46"/>
      <c r="O59" s="46"/>
      <c r="P59" s="5"/>
      <c r="Q59" s="5"/>
      <c r="R59" s="60"/>
      <c r="S59" s="594">
        <f>+S58+S57</f>
        <v>4.0649379909090912</v>
      </c>
      <c r="T59" s="595">
        <f>+T57+T58</f>
        <v>6048.95</v>
      </c>
      <c r="U59" s="5"/>
      <c r="V59" s="46"/>
      <c r="W59" s="46"/>
      <c r="X59" s="5"/>
      <c r="Y59" s="5"/>
    </row>
    <row r="60" spans="1:25" s="11" customFormat="1" x14ac:dyDescent="0.2">
      <c r="A60" s="47"/>
      <c r="B60" s="57"/>
      <c r="C60" s="46"/>
      <c r="D60" s="46"/>
      <c r="E60" s="46"/>
      <c r="F60" s="46"/>
      <c r="G60" s="46"/>
      <c r="H60" s="5"/>
      <c r="I60" s="5"/>
      <c r="J60" s="60"/>
      <c r="K60" s="46"/>
      <c r="L60" s="46"/>
      <c r="M60" s="46"/>
      <c r="N60" s="46"/>
      <c r="O60" s="46"/>
      <c r="P60" s="5"/>
      <c r="Q60" s="5"/>
      <c r="R60" s="60"/>
      <c r="S60" s="46"/>
      <c r="T60" s="46"/>
      <c r="U60" s="46"/>
      <c r="V60" s="46"/>
      <c r="W60" s="46"/>
      <c r="X60" s="5"/>
      <c r="Y60" s="5"/>
    </row>
    <row r="61" spans="1:25" s="11" customFormat="1" x14ac:dyDescent="0.2">
      <c r="A61" s="47"/>
      <c r="B61" s="389" t="s">
        <v>547</v>
      </c>
      <c r="C61" s="488"/>
      <c r="D61" s="489"/>
      <c r="E61" s="46"/>
      <c r="F61" s="46"/>
      <c r="G61" s="5"/>
      <c r="H61" s="5"/>
      <c r="I61" s="5"/>
      <c r="J61" s="60"/>
      <c r="K61" s="9"/>
      <c r="L61" s="46"/>
      <c r="M61" s="46"/>
      <c r="N61" s="46"/>
      <c r="O61" s="5"/>
      <c r="P61" s="5"/>
      <c r="Q61" s="5"/>
      <c r="R61" s="60"/>
      <c r="S61" s="9"/>
      <c r="T61" s="46"/>
      <c r="U61" s="46"/>
      <c r="V61" s="46"/>
      <c r="W61" s="5"/>
      <c r="X61" s="5"/>
      <c r="Y61" s="5"/>
    </row>
    <row r="62" spans="1:25" s="345" customFormat="1" ht="25.5" x14ac:dyDescent="0.2">
      <c r="A62" s="343"/>
      <c r="B62" s="526" t="s">
        <v>628</v>
      </c>
      <c r="C62" s="590" t="s">
        <v>624</v>
      </c>
      <c r="D62" s="482" t="s">
        <v>625</v>
      </c>
      <c r="E62" s="5"/>
      <c r="F62" s="46"/>
      <c r="G62" s="5"/>
      <c r="H62" s="5"/>
      <c r="I62" s="5"/>
      <c r="J62" s="346"/>
      <c r="K62" s="485" t="str">
        <f>C62</f>
        <v>Ratio du coût des énergies</v>
      </c>
      <c r="L62" s="482" t="str">
        <f>D62</f>
        <v>Coût des abonnements</v>
      </c>
      <c r="M62" s="46"/>
      <c r="N62" s="46"/>
      <c r="O62" s="5"/>
      <c r="P62" s="5"/>
      <c r="Q62" s="5"/>
      <c r="R62" s="346"/>
      <c r="S62" s="481" t="str">
        <f>K62</f>
        <v>Ratio du coût des énergies</v>
      </c>
      <c r="T62" s="482" t="str">
        <f>L62</f>
        <v>Coût des abonnements</v>
      </c>
      <c r="U62" s="46"/>
      <c r="V62" s="46"/>
      <c r="W62" s="5"/>
      <c r="X62" s="5"/>
      <c r="Y62" s="5"/>
    </row>
    <row r="63" spans="1:25" s="9" customFormat="1" x14ac:dyDescent="0.2">
      <c r="A63" s="248"/>
      <c r="B63" s="331" t="str">
        <f>CONCATENATE("Cumul énergie actualisé sur ",amortissement," ans")</f>
        <v>Cumul énergie actualisé sur 40 ans</v>
      </c>
      <c r="C63" s="486">
        <f>+D23*F34*VLOOKUP(C34,réf_énergie,6)+D24*F35*VLOOKUP(C35,réf_énergie,6)+D26*F37*VLOOKUP(C37,réf_énergie,6)</f>
        <v>1135.3099131443594</v>
      </c>
      <c r="D63" s="487">
        <f>D59*amortissement</f>
        <v>241958</v>
      </c>
      <c r="J63" s="250"/>
      <c r="K63" s="486">
        <f>+L23*N34*VLOOKUP(K34,réf_énergie,6)+L24*N35*VLOOKUP(K35,réf_énergie,6)+L26*N37*VLOOKUP(K37,réf_énergie,6)</f>
        <v>381.6743221100013</v>
      </c>
      <c r="L63" s="487">
        <f>L59*amortissement</f>
        <v>241958</v>
      </c>
      <c r="M63" s="249"/>
      <c r="N63" s="249"/>
      <c r="R63" s="250"/>
      <c r="S63" s="486">
        <f>+T23*V34*VLOOKUP(S34,réf_énergie,6)+T24*V35*VLOOKUP(S35,réf_énergie,6)+T26*V37*VLOOKUP(S37,réf_énergie,6)</f>
        <v>260.45323275685388</v>
      </c>
      <c r="T63" s="487">
        <f>T59*amortissement</f>
        <v>241958</v>
      </c>
      <c r="U63" s="249"/>
      <c r="V63" s="249"/>
    </row>
    <row r="64" spans="1:25" s="11" customFormat="1" x14ac:dyDescent="0.2">
      <c r="A64" s="47"/>
      <c r="B64" s="57"/>
      <c r="C64" s="5"/>
      <c r="D64" s="5"/>
      <c r="E64" s="5"/>
      <c r="F64" s="5"/>
      <c r="G64" s="5"/>
      <c r="H64" s="5"/>
      <c r="I64" s="5"/>
      <c r="J64" s="60"/>
      <c r="K64" s="5"/>
      <c r="L64" s="5"/>
      <c r="M64" s="5"/>
      <c r="N64" s="5"/>
      <c r="O64" s="5"/>
      <c r="P64" s="5"/>
      <c r="Q64" s="5"/>
      <c r="R64" s="60"/>
      <c r="S64" s="5"/>
      <c r="T64" s="5"/>
      <c r="U64" s="5"/>
      <c r="V64" s="5"/>
      <c r="W64" s="5"/>
      <c r="X64" s="5"/>
      <c r="Y64" s="5"/>
    </row>
    <row r="65" spans="1:25" s="11" customFormat="1" x14ac:dyDescent="0.2">
      <c r="A65" s="47"/>
      <c r="B65" s="389" t="s">
        <v>548</v>
      </c>
      <c r="C65" s="5"/>
      <c r="D65" s="5"/>
      <c r="E65" s="5"/>
      <c r="F65" s="5"/>
      <c r="G65" s="5"/>
      <c r="H65" s="5"/>
      <c r="I65" s="5"/>
      <c r="J65" s="60"/>
      <c r="K65" s="5"/>
      <c r="L65" s="5"/>
      <c r="M65" s="5"/>
      <c r="N65" s="5"/>
      <c r="O65" s="5"/>
      <c r="P65" s="5"/>
      <c r="Q65" s="5"/>
      <c r="R65" s="60"/>
      <c r="S65" s="5"/>
      <c r="T65" s="5"/>
      <c r="U65" s="5"/>
      <c r="V65" s="5"/>
      <c r="W65" s="5"/>
      <c r="X65" s="5"/>
      <c r="Y65" s="5"/>
    </row>
    <row r="66" spans="1:25" s="345" customFormat="1" x14ac:dyDescent="0.2">
      <c r="A66" s="343"/>
      <c r="B66" s="105"/>
      <c r="C66" s="451" t="s">
        <v>31</v>
      </c>
      <c r="D66" s="3" t="s">
        <v>23</v>
      </c>
      <c r="E66" s="3" t="s">
        <v>24</v>
      </c>
      <c r="F66" s="3" t="s">
        <v>25</v>
      </c>
      <c r="G66" s="3" t="s">
        <v>26</v>
      </c>
      <c r="H66" s="3" t="s">
        <v>27</v>
      </c>
      <c r="I66" s="3" t="s">
        <v>28</v>
      </c>
      <c r="J66" s="346"/>
      <c r="K66" s="451" t="str">
        <f>C66</f>
        <v>Global</v>
      </c>
      <c r="L66" s="3" t="str">
        <f t="shared" ref="L66:Q66" si="4">D66</f>
        <v>T1</v>
      </c>
      <c r="M66" s="3" t="str">
        <f t="shared" si="4"/>
        <v>T2</v>
      </c>
      <c r="N66" s="3" t="str">
        <f t="shared" si="4"/>
        <v>T3</v>
      </c>
      <c r="O66" s="3" t="str">
        <f t="shared" si="4"/>
        <v>T4</v>
      </c>
      <c r="P66" s="3" t="str">
        <f t="shared" si="4"/>
        <v>T5</v>
      </c>
      <c r="Q66" s="3" t="str">
        <f t="shared" si="4"/>
        <v>Cumul</v>
      </c>
      <c r="R66" s="346"/>
      <c r="S66" s="451" t="str">
        <f>K66</f>
        <v>Global</v>
      </c>
      <c r="T66" s="3" t="str">
        <f t="shared" ref="T66" si="5">L66</f>
        <v>T1</v>
      </c>
      <c r="U66" s="3" t="str">
        <f t="shared" ref="U66" si="6">M66</f>
        <v>T2</v>
      </c>
      <c r="V66" s="3" t="str">
        <f t="shared" ref="V66" si="7">N66</f>
        <v>T3</v>
      </c>
      <c r="W66" s="3" t="str">
        <f t="shared" ref="W66" si="8">O66</f>
        <v>T4</v>
      </c>
      <c r="X66" s="3" t="str">
        <f t="shared" ref="X66" si="9">P66</f>
        <v>T5</v>
      </c>
      <c r="Y66" s="3" t="str">
        <f t="shared" ref="Y66" si="10">Q66</f>
        <v>Cumul</v>
      </c>
    </row>
    <row r="67" spans="1:25" s="11" customFormat="1" x14ac:dyDescent="0.2">
      <c r="A67" s="47"/>
      <c r="B67" s="58" t="s">
        <v>540</v>
      </c>
      <c r="C67" s="251" t="str">
        <f>IF(Nb_Global=0,"",C$59*Surf_Global)</f>
        <v/>
      </c>
      <c r="D67" s="252">
        <f>IF(Nb_T1=0,"",C$59*Surf_T1)</f>
        <v>677.56090909090915</v>
      </c>
      <c r="E67" s="252">
        <f>IF(Nb_T2=0,"",C$59*Surf_T2)</f>
        <v>752.84545454545457</v>
      </c>
      <c r="F67" s="252">
        <f>IF(Nb_T3=0,"",C$59*Surf_T3)</f>
        <v>903.41454545454542</v>
      </c>
      <c r="G67" s="252">
        <f>IF(Nb_T4=0,"",C$59*Surf_T4)</f>
        <v>1053.9836363636364</v>
      </c>
      <c r="H67" s="252">
        <f>IF(Nb_T5=0,"",C$59*Surf_T5)</f>
        <v>1279.8372727272726</v>
      </c>
      <c r="I67" s="252">
        <f>SUM(C67:H67)</f>
        <v>4667.6418181818181</v>
      </c>
      <c r="J67" s="60"/>
      <c r="K67" s="251" t="str">
        <f>IF(Nb_Global=0,"",K$59*Surf_Global)</f>
        <v/>
      </c>
      <c r="L67" s="252">
        <f>IF(Nb_T1=0,"",K$59*Surf_T1)</f>
        <v>227.78590909090909</v>
      </c>
      <c r="M67" s="252">
        <f>IF(Nb_T2=0,"",K$59*Surf_T2)</f>
        <v>253.09545454545454</v>
      </c>
      <c r="N67" s="252">
        <f>IF(Nb_T3=0,"",K$59*Surf_T3)</f>
        <v>303.71454545454543</v>
      </c>
      <c r="O67" s="252">
        <f>IF(Nb_T4=0,"",K$59*Surf_T4)</f>
        <v>354.33363636363634</v>
      </c>
      <c r="P67" s="252">
        <f>IF(Nb_T5=0,"",K$59*Surf_T5)</f>
        <v>430.26227272727272</v>
      </c>
      <c r="Q67" s="252">
        <f>SUM(K67:P67)</f>
        <v>1569.1918181818182</v>
      </c>
      <c r="R67" s="60"/>
      <c r="S67" s="251" t="str">
        <f>IF(Nb_Global=0,"",S$59*Surf_Global)</f>
        <v/>
      </c>
      <c r="T67" s="252">
        <f>IF(Nb_T1=0,"",S$59*Surf_T1)</f>
        <v>182.92220959090912</v>
      </c>
      <c r="U67" s="252">
        <f>IF(Nb_T2=0,"",S$59*Surf_T2)</f>
        <v>203.24689954545457</v>
      </c>
      <c r="V67" s="252">
        <f>IF(Nb_T3=0,"",S$59*Surf_T3)</f>
        <v>243.89627945454546</v>
      </c>
      <c r="W67" s="252">
        <f>IF(Nb_T4=0,"",S$59*Surf_T4)</f>
        <v>284.54565936363639</v>
      </c>
      <c r="X67" s="252">
        <f>IF(Nb_T5=0,"",S$59*Surf_T5)</f>
        <v>345.51972922727276</v>
      </c>
      <c r="Y67" s="252">
        <f>SUM(S67:X67)</f>
        <v>1260.1307771818183</v>
      </c>
    </row>
    <row r="68" spans="1:25" s="11" customFormat="1" x14ac:dyDescent="0.2">
      <c r="A68" s="47"/>
      <c r="B68" s="58" t="s">
        <v>539</v>
      </c>
      <c r="C68" s="251" t="str">
        <f>IF(Nb_Global=0,"",C67*Nb_Global)</f>
        <v/>
      </c>
      <c r="D68" s="252">
        <f>IF(Nb_T1=0,"",D67*Nb_T1)</f>
        <v>6775.6090909090917</v>
      </c>
      <c r="E68" s="252">
        <f>IF(Nb_T2=0,"",E67*Nb_T2)</f>
        <v>6022.7636363636366</v>
      </c>
      <c r="F68" s="252">
        <f>IF(Nb_T3=0,"",F67*Nb_T3)</f>
        <v>10840.974545454545</v>
      </c>
      <c r="G68" s="252">
        <f>IF(Nb_T4=0,"",G67*Nb_T4)</f>
        <v>12647.803636363637</v>
      </c>
      <c r="H68" s="252">
        <f>IF(Nb_T1=0,"",H67*Nb_T1)</f>
        <v>12798.372727272726</v>
      </c>
      <c r="I68" s="252">
        <f>SUM(C68:H68)</f>
        <v>49085.523636363636</v>
      </c>
      <c r="J68" s="60"/>
      <c r="K68" s="251" t="str">
        <f>IF(Nb_Global=0,"",K67*Nb_Global)</f>
        <v/>
      </c>
      <c r="L68" s="252">
        <f>IF(Nb_T1=0,"",L67*Nb_T1)</f>
        <v>2277.8590909090908</v>
      </c>
      <c r="M68" s="252">
        <f>IF(Nb_T2=0,"",M67*Nb_T2)</f>
        <v>2024.7636363636364</v>
      </c>
      <c r="N68" s="252">
        <f>IF(Nb_T3=0,"",N67*Nb_T3)</f>
        <v>3644.5745454545449</v>
      </c>
      <c r="O68" s="252">
        <f>IF(Nb_T4=0,"",O67*Nb_T4)</f>
        <v>4252.0036363636364</v>
      </c>
      <c r="P68" s="252">
        <f>IF(Nb_T1=0,"",P67*Nb_T1)</f>
        <v>4302.6227272727274</v>
      </c>
      <c r="Q68" s="252">
        <f>SUM(K68:P68)</f>
        <v>16501.823636363635</v>
      </c>
      <c r="R68" s="60"/>
      <c r="S68" s="251" t="str">
        <f>IF(Nb_Global=0,"",S67*Nb_Global)</f>
        <v/>
      </c>
      <c r="T68" s="252">
        <f>IF(Nb_T1=0,"",T67*Nb_T1)</f>
        <v>1829.2220959090912</v>
      </c>
      <c r="U68" s="252">
        <f>IF(Nb_T2=0,"",U67*Nb_T2)</f>
        <v>1625.9751963636365</v>
      </c>
      <c r="V68" s="252">
        <f>IF(Nb_T3=0,"",V67*Nb_T3)</f>
        <v>2926.7553534545455</v>
      </c>
      <c r="W68" s="252">
        <f>IF(Nb_T4=0,"",W67*Nb_T4)</f>
        <v>3414.5479123636369</v>
      </c>
      <c r="X68" s="252">
        <f>IF(Nb_T1=0,"",X67*Nb_T1)</f>
        <v>3455.1972922727277</v>
      </c>
      <c r="Y68" s="252">
        <f>SUM(S68:X68)</f>
        <v>13251.697850363636</v>
      </c>
    </row>
    <row r="69" spans="1:25" s="11" customFormat="1" x14ac:dyDescent="0.2">
      <c r="A69" s="47"/>
      <c r="B69" s="57"/>
      <c r="C69" s="5"/>
      <c r="D69" s="5"/>
      <c r="E69" s="5"/>
      <c r="F69" s="5"/>
      <c r="G69" s="5"/>
      <c r="H69" s="5"/>
      <c r="I69" s="5"/>
      <c r="J69" s="60"/>
      <c r="K69" s="5"/>
      <c r="L69" s="5"/>
      <c r="M69" s="5"/>
      <c r="N69" s="5"/>
      <c r="O69" s="5"/>
      <c r="P69" s="5"/>
      <c r="Q69" s="5"/>
      <c r="R69" s="60"/>
      <c r="S69" s="5"/>
      <c r="T69" s="5"/>
      <c r="U69" s="5"/>
      <c r="V69" s="5"/>
      <c r="W69" s="5"/>
      <c r="X69" s="5"/>
      <c r="Y69" s="5"/>
    </row>
    <row r="70" spans="1:25" s="11" customFormat="1" x14ac:dyDescent="0.2">
      <c r="A70" s="47"/>
      <c r="B70" s="389" t="s">
        <v>549</v>
      </c>
      <c r="C70" s="5"/>
      <c r="D70" s="5"/>
      <c r="E70" s="5"/>
      <c r="F70" s="5"/>
      <c r="G70" s="5"/>
      <c r="H70" s="5"/>
      <c r="I70" s="5"/>
      <c r="J70" s="60"/>
      <c r="K70" s="5"/>
      <c r="L70" s="5"/>
      <c r="M70" s="5"/>
      <c r="N70" s="5"/>
      <c r="O70" s="5"/>
      <c r="P70" s="5"/>
      <c r="Q70" s="5"/>
      <c r="R70" s="60"/>
      <c r="S70" s="5"/>
      <c r="T70" s="5"/>
      <c r="U70" s="5"/>
      <c r="V70" s="5"/>
      <c r="W70" s="5"/>
      <c r="X70" s="5"/>
      <c r="Y70" s="5"/>
    </row>
    <row r="71" spans="1:25" s="345" customFormat="1" x14ac:dyDescent="0.2">
      <c r="A71" s="343"/>
      <c r="B71" s="105"/>
      <c r="C71" s="451" t="s">
        <v>31</v>
      </c>
      <c r="D71" s="3" t="s">
        <v>23</v>
      </c>
      <c r="E71" s="3" t="s">
        <v>24</v>
      </c>
      <c r="F71" s="3" t="s">
        <v>25</v>
      </c>
      <c r="G71" s="3" t="s">
        <v>26</v>
      </c>
      <c r="H71" s="3" t="s">
        <v>27</v>
      </c>
      <c r="I71" s="3" t="s">
        <v>28</v>
      </c>
      <c r="J71" s="346"/>
      <c r="K71" s="451" t="str">
        <f>C71</f>
        <v>Global</v>
      </c>
      <c r="L71" s="3" t="str">
        <f t="shared" ref="L71" si="11">D71</f>
        <v>T1</v>
      </c>
      <c r="M71" s="3" t="str">
        <f t="shared" ref="M71" si="12">E71</f>
        <v>T2</v>
      </c>
      <c r="N71" s="3" t="str">
        <f t="shared" ref="N71" si="13">F71</f>
        <v>T3</v>
      </c>
      <c r="O71" s="3" t="str">
        <f t="shared" ref="O71" si="14">G71</f>
        <v>T4</v>
      </c>
      <c r="P71" s="3" t="str">
        <f t="shared" ref="P71" si="15">H71</f>
        <v>T5</v>
      </c>
      <c r="Q71" s="3" t="str">
        <f t="shared" ref="Q71" si="16">I71</f>
        <v>Cumul</v>
      </c>
      <c r="R71" s="346"/>
      <c r="S71" s="451" t="str">
        <f>K71</f>
        <v>Global</v>
      </c>
      <c r="T71" s="3" t="str">
        <f t="shared" ref="T71" si="17">L71</f>
        <v>T1</v>
      </c>
      <c r="U71" s="3" t="str">
        <f t="shared" ref="U71" si="18">M71</f>
        <v>T2</v>
      </c>
      <c r="V71" s="3" t="str">
        <f t="shared" ref="V71" si="19">N71</f>
        <v>T3</v>
      </c>
      <c r="W71" s="3" t="str">
        <f t="shared" ref="W71" si="20">O71</f>
        <v>T4</v>
      </c>
      <c r="X71" s="3" t="str">
        <f t="shared" ref="X71" si="21">P71</f>
        <v>T5</v>
      </c>
      <c r="Y71" s="3" t="str">
        <f t="shared" ref="Y71" si="22">Q71</f>
        <v>Cumul</v>
      </c>
    </row>
    <row r="72" spans="1:25" s="5" customFormat="1" x14ac:dyDescent="0.2">
      <c r="A72" s="45"/>
      <c r="B72" s="105" t="str">
        <f>CONCATENATE("Consommation P1 sur ",amortissement," ans")</f>
        <v>Consommation P1 sur 40 ans</v>
      </c>
      <c r="C72" s="251" t="str">
        <f>IF(Nb_Global=0,"",+C$63*Nb_Global*Nb_Global)</f>
        <v/>
      </c>
      <c r="D72" s="252">
        <f>IF(Nb_T1=0,"",+C$63*Nb_T1*Surf_T1)</f>
        <v>510889.46091496176</v>
      </c>
      <c r="E72" s="252">
        <f>IF(Nb_T2=0,"",+C$63*Nb_T2*Surf_T2)</f>
        <v>454123.96525774372</v>
      </c>
      <c r="F72" s="252">
        <f>IF(Nb_T3=0,"",+C$63*Nb_T3*Surf_T3)</f>
        <v>817423.13746393868</v>
      </c>
      <c r="G72" s="252">
        <f>IF(Nb_T4=0,"",+C$63*Nb_T4*Surf_T4)</f>
        <v>953660.32704126183</v>
      </c>
      <c r="H72" s="252">
        <f>IF(Nb_T5=0,"",+C$63*Nb_T5*Surf_T5)</f>
        <v>386005.37046908221</v>
      </c>
      <c r="I72" s="252">
        <f>SUM(C72:H72)</f>
        <v>3122102.2611469883</v>
      </c>
      <c r="J72" s="167"/>
      <c r="K72" s="251" t="str">
        <f>IF(Nb_Global=0,"",+K$63*Nb_Global*Nb_Global)</f>
        <v/>
      </c>
      <c r="L72" s="252">
        <f>IF(Nb_T1=0,"",+K$63*Nb_T1*Surf_T1)</f>
        <v>171753.44494950058</v>
      </c>
      <c r="M72" s="252">
        <f>IF(Nb_T2=0,"",+K$63*Nb_T2*Surf_T2)</f>
        <v>152669.72884400052</v>
      </c>
      <c r="N72" s="252">
        <f>IF(Nb_T3=0,"",+K$63*Nb_T3*Surf_T3)</f>
        <v>274805.51191920089</v>
      </c>
      <c r="O72" s="252">
        <f>IF(Nb_T4=0,"",+K$63*Nb_T4*Surf_T4)</f>
        <v>320606.43057240103</v>
      </c>
      <c r="P72" s="252">
        <f>IF(Nb_T5=0,"",+K$63*Nb_T5*Surf_T5)</f>
        <v>129769.26951740045</v>
      </c>
      <c r="Q72" s="252">
        <f>SUM(K72:P72)</f>
        <v>1049604.3858025034</v>
      </c>
      <c r="R72" s="167"/>
      <c r="S72" s="251" t="str">
        <f>IF(Nb_Global=0,"",+S$63*Nb_Global*Nb_Global)</f>
        <v/>
      </c>
      <c r="T72" s="252">
        <f>IF(Nb_T1=0,"",+S$63*Nb_T1*Surf_T1)</f>
        <v>117203.95474058425</v>
      </c>
      <c r="U72" s="252">
        <f>IF(Nb_T2=0,"",+S$63*Nb_T2*Surf_T2)</f>
        <v>104181.29310274155</v>
      </c>
      <c r="V72" s="252">
        <f>IF(Nb_T3=0,"",+S$63*Nb_T3*Surf_T3)</f>
        <v>187526.3275849348</v>
      </c>
      <c r="W72" s="252">
        <f>IF(Nb_T4=0,"",+S$63*Nb_T4*Surf_T4)</f>
        <v>218780.71551575727</v>
      </c>
      <c r="X72" s="252">
        <f>IF(Nb_T5=0,"",+S$63*Nb_T5*Surf_T5)</f>
        <v>88554.099137330326</v>
      </c>
      <c r="Y72" s="252">
        <f>SUM(S72:X72)</f>
        <v>716246.39008134825</v>
      </c>
    </row>
    <row r="73" spans="1:25" s="5" customFormat="1" x14ac:dyDescent="0.2">
      <c r="A73" s="45"/>
      <c r="B73" s="381" t="s">
        <v>223</v>
      </c>
      <c r="C73" s="252" t="str">
        <f>IF(Nb_Global=0,"",C72*C57/C59)</f>
        <v/>
      </c>
      <c r="D73" s="252">
        <f>IF(Nb_T1=0,"",D72*C57/C59)</f>
        <v>477131.63146636466</v>
      </c>
      <c r="E73" s="252">
        <f>IF(Nb_T2=0,"",E72*C57/C59)</f>
        <v>424117.00574787962</v>
      </c>
      <c r="F73" s="252">
        <f>IF(Nb_T3=0,"",F72*C57/C59)</f>
        <v>763410.6103461833</v>
      </c>
      <c r="G73" s="252">
        <f>IF(Nb_T4=0,"",G72*C57/C59)</f>
        <v>890645.71207054728</v>
      </c>
      <c r="H73" s="252">
        <f>IF(Nb_T5=0,"",H72*C57/C59)</f>
        <v>360499.45488569769</v>
      </c>
      <c r="I73" s="252">
        <f>SUM(C73:H73)</f>
        <v>2915804.4145166725</v>
      </c>
      <c r="J73" s="167"/>
      <c r="K73" s="252" t="str">
        <f>IF(Nb_Global=0,"",K72*K57/K59)</f>
        <v/>
      </c>
      <c r="L73" s="252">
        <f>IF(Nb_T1=0,"",L72*K57/K59)</f>
        <v>137995.61550090348</v>
      </c>
      <c r="M73" s="252">
        <f>IF(Nb_T2=0,"",M72*K57/K59)</f>
        <v>122662.76933413645</v>
      </c>
      <c r="N73" s="252">
        <f>IF(Nb_T3=0,"",N72*K57/K59)</f>
        <v>220792.98480144556</v>
      </c>
      <c r="O73" s="252">
        <f>IF(Nb_T4=0,"",O72*K57/K59)</f>
        <v>257591.81560168648</v>
      </c>
      <c r="P73" s="252">
        <f>IF(Nb_T5=0,"",P72*K57/K59)</f>
        <v>104263.35393401598</v>
      </c>
      <c r="Q73" s="252">
        <f>SUM(K73:P73)</f>
        <v>843306.53917218791</v>
      </c>
      <c r="R73" s="167"/>
      <c r="S73" s="252" t="str">
        <f>IF(Nb_Global=0,"",S72*S57/S59)</f>
        <v/>
      </c>
      <c r="T73" s="252">
        <f>IF(Nb_T1=0,"",T72*S57/S59)</f>
        <v>88517.839399418459</v>
      </c>
      <c r="U73" s="252">
        <f>IF(Nb_T2=0,"",U72*S57/S59)</f>
        <v>78682.523910594187</v>
      </c>
      <c r="V73" s="252">
        <f>IF(Nb_T3=0,"",V72*S57/S59)</f>
        <v>141628.54303906954</v>
      </c>
      <c r="W73" s="252">
        <f>IF(Nb_T4=0,"",W72*S57/S59)</f>
        <v>165233.30021224782</v>
      </c>
      <c r="X73" s="252">
        <f>IF(Nb_T5=0,"",X72*S57/S59)</f>
        <v>66880.145324005061</v>
      </c>
      <c r="Y73" s="252">
        <f>SUM(S73:X73)</f>
        <v>540942.35188533505</v>
      </c>
    </row>
    <row r="74" spans="1:25" s="5" customFormat="1" x14ac:dyDescent="0.2">
      <c r="A74" s="45"/>
      <c r="B74" s="381" t="s">
        <v>224</v>
      </c>
      <c r="C74" s="252" t="str">
        <f>IF(Nb_Global=0,"",C72*C58/C59)</f>
        <v/>
      </c>
      <c r="D74" s="252">
        <f>IF(Nb_T1=0,"",D72*C58/C59)</f>
        <v>33757.829448597091</v>
      </c>
      <c r="E74" s="252">
        <f>IF(Nb_T2=0,"",E72*C58/C59)</f>
        <v>30006.959509864075</v>
      </c>
      <c r="F74" s="252">
        <f>IF(Nb_T3=0,"",F72*C58/C59)</f>
        <v>54012.52711775533</v>
      </c>
      <c r="G74" s="252">
        <f>IF(Nb_T4=0,"",G72*C58/C59)</f>
        <v>63014.61497071456</v>
      </c>
      <c r="H74" s="252">
        <f>IF(Nb_T5=0,"",H72*C58/C59)</f>
        <v>25505.915583384463</v>
      </c>
      <c r="I74" s="252">
        <f>SUM(C74:H74)</f>
        <v>206297.8466303155</v>
      </c>
      <c r="J74" s="167"/>
      <c r="K74" s="252" t="str">
        <f>IF(Nb_Global=0,"",K72*K58/K59)</f>
        <v/>
      </c>
      <c r="L74" s="252">
        <f>IF(Nb_T1=0,"",L72*K58/K59)</f>
        <v>33757.829448597084</v>
      </c>
      <c r="M74" s="252">
        <f>IF(Nb_T2=0,"",M72*K58/K59)</f>
        <v>30006.959509864075</v>
      </c>
      <c r="N74" s="252">
        <f>IF(Nb_T3=0,"",N72*K58/K59)</f>
        <v>54012.527117755322</v>
      </c>
      <c r="O74" s="252">
        <f>IF(Nb_T4=0,"",O72*K58/K59)</f>
        <v>63014.614970714545</v>
      </c>
      <c r="P74" s="252">
        <f>IF(Nb_T5=0,"",P72*K58/K59)</f>
        <v>25505.915583384463</v>
      </c>
      <c r="Q74" s="252">
        <f>SUM(K74:P74)</f>
        <v>206297.84663031547</v>
      </c>
      <c r="R74" s="167"/>
      <c r="S74" s="252" t="str">
        <f>IF(Nb_Global=0,"",S72*S58/S59)</f>
        <v/>
      </c>
      <c r="T74" s="252">
        <f>IF(Nb_T1=0,"",T72*S58/S59)</f>
        <v>28686.115341165787</v>
      </c>
      <c r="U74" s="252">
        <f>IF(Nb_T2=0,"",U72*S58/S59)</f>
        <v>25498.769192147363</v>
      </c>
      <c r="V74" s="252">
        <f>IF(Nb_T3=0,"",V72*S58/S59)</f>
        <v>45897.784545865259</v>
      </c>
      <c r="W74" s="252">
        <f>IF(Nb_T4=0,"",W72*S58/S59)</f>
        <v>53547.415303509471</v>
      </c>
      <c r="X74" s="252">
        <f>IF(Nb_T5=0,"",X72*S58/S59)</f>
        <v>21673.953813325261</v>
      </c>
      <c r="Y74" s="252">
        <f>SUM(S74:X74)</f>
        <v>175304.03819601313</v>
      </c>
    </row>
    <row r="75" spans="1:25" s="11" customFormat="1" x14ac:dyDescent="0.2">
      <c r="A75" s="47"/>
      <c r="B75" s="57"/>
      <c r="C75" s="5"/>
      <c r="D75" s="5"/>
      <c r="E75" s="5"/>
      <c r="F75" s="5"/>
      <c r="G75" s="5"/>
      <c r="H75" s="5"/>
      <c r="I75" s="5"/>
      <c r="J75" s="60"/>
      <c r="K75" s="5"/>
      <c r="L75" s="5"/>
      <c r="M75" s="5"/>
      <c r="N75" s="5"/>
      <c r="O75" s="5"/>
      <c r="P75" s="5"/>
      <c r="Q75" s="5"/>
      <c r="R75" s="60"/>
      <c r="S75" s="5"/>
      <c r="T75" s="5"/>
      <c r="U75" s="5"/>
      <c r="V75" s="5"/>
      <c r="W75" s="5"/>
      <c r="X75" s="5"/>
      <c r="Y75" s="5"/>
    </row>
    <row r="76" spans="1:25" s="11" customFormat="1" x14ac:dyDescent="0.2">
      <c r="A76" s="24"/>
      <c r="B76" s="24"/>
      <c r="J76" s="60"/>
      <c r="R76" s="60"/>
      <c r="S76" s="5"/>
      <c r="T76" s="5"/>
      <c r="U76" s="5"/>
      <c r="V76" s="5"/>
      <c r="W76" s="5"/>
      <c r="X76" s="5"/>
      <c r="Y76" s="5"/>
    </row>
    <row r="77" spans="1:25" s="11" customFormat="1" x14ac:dyDescent="0.2">
      <c r="A77" s="24"/>
      <c r="B77" s="24"/>
      <c r="S77" s="5"/>
      <c r="T77" s="5"/>
      <c r="U77" s="5"/>
      <c r="V77" s="5"/>
      <c r="W77" s="5"/>
      <c r="X77" s="5"/>
      <c r="Y77" s="5"/>
    </row>
    <row r="78" spans="1:25" s="11" customFormat="1" x14ac:dyDescent="0.2">
      <c r="A78" s="24"/>
      <c r="B78" s="24"/>
      <c r="S78" s="5"/>
      <c r="T78" s="5"/>
      <c r="U78" s="5"/>
      <c r="V78" s="5"/>
      <c r="W78" s="5"/>
      <c r="X78" s="5"/>
      <c r="Y78" s="5"/>
    </row>
    <row r="79" spans="1:25" s="11" customFormat="1" x14ac:dyDescent="0.2">
      <c r="A79" s="24"/>
      <c r="B79" s="24"/>
      <c r="S79" s="5"/>
      <c r="T79" s="5"/>
      <c r="U79" s="5"/>
      <c r="V79" s="5"/>
      <c r="W79" s="5"/>
      <c r="X79" s="5"/>
      <c r="Y79" s="5"/>
    </row>
    <row r="80" spans="1:25" s="11" customFormat="1" x14ac:dyDescent="0.2">
      <c r="A80" s="24"/>
      <c r="B80" s="24"/>
      <c r="S80" s="5"/>
      <c r="T80" s="5"/>
      <c r="U80" s="5"/>
      <c r="V80" s="5"/>
      <c r="W80" s="5"/>
      <c r="X80" s="5"/>
      <c r="Y80" s="5"/>
    </row>
    <row r="81" spans="1:25" s="11" customFormat="1" x14ac:dyDescent="0.2">
      <c r="A81" s="24"/>
      <c r="B81" s="24"/>
      <c r="S81" s="5"/>
      <c r="T81" s="5"/>
      <c r="U81" s="5"/>
      <c r="V81" s="5"/>
      <c r="W81" s="5"/>
      <c r="X81" s="5"/>
      <c r="Y81" s="5"/>
    </row>
    <row r="82" spans="1:25" s="11" customFormat="1" x14ac:dyDescent="0.2">
      <c r="A82" s="24"/>
      <c r="B82" s="24"/>
      <c r="S82" s="5"/>
      <c r="T82" s="5"/>
      <c r="U82" s="5"/>
      <c r="V82" s="5"/>
      <c r="W82" s="5"/>
      <c r="X82" s="5"/>
      <c r="Y82" s="5"/>
    </row>
    <row r="83" spans="1:25" s="11" customFormat="1" x14ac:dyDescent="0.2">
      <c r="A83" s="24"/>
      <c r="B83" s="24"/>
      <c r="S83" s="5"/>
      <c r="T83" s="5"/>
      <c r="U83" s="5"/>
      <c r="V83" s="5"/>
      <c r="W83" s="5"/>
      <c r="X83" s="5"/>
      <c r="Y83" s="5"/>
    </row>
    <row r="84" spans="1:25" s="11" customFormat="1" x14ac:dyDescent="0.2">
      <c r="A84" s="24"/>
      <c r="B84" s="24"/>
      <c r="S84" s="5"/>
      <c r="T84" s="5"/>
      <c r="U84" s="5"/>
      <c r="V84" s="5"/>
      <c r="W84" s="5"/>
      <c r="X84" s="5"/>
      <c r="Y84" s="5"/>
    </row>
    <row r="85" spans="1:25" s="11" customFormat="1" x14ac:dyDescent="0.2">
      <c r="A85" s="24"/>
      <c r="B85" s="24"/>
      <c r="S85" s="5"/>
      <c r="T85" s="5"/>
      <c r="U85" s="5"/>
      <c r="V85" s="5"/>
      <c r="W85" s="5"/>
      <c r="X85" s="5"/>
      <c r="Y85" s="5"/>
    </row>
    <row r="86" spans="1:25" s="11" customFormat="1" x14ac:dyDescent="0.2">
      <c r="A86" s="24"/>
      <c r="B86" s="24"/>
      <c r="S86" s="5"/>
      <c r="T86" s="5"/>
      <c r="U86" s="5"/>
      <c r="V86" s="5"/>
      <c r="W86" s="5"/>
      <c r="X86" s="5"/>
      <c r="Y86" s="5"/>
    </row>
    <row r="87" spans="1:25" s="11" customFormat="1" x14ac:dyDescent="0.2">
      <c r="A87" s="24"/>
      <c r="B87" s="24"/>
      <c r="S87" s="5"/>
      <c r="T87" s="5"/>
      <c r="U87" s="5"/>
      <c r="V87" s="5"/>
      <c r="W87" s="5"/>
      <c r="X87" s="5"/>
      <c r="Y87" s="5"/>
    </row>
    <row r="88" spans="1:25" s="11" customFormat="1" x14ac:dyDescent="0.2">
      <c r="A88" s="24"/>
      <c r="B88" s="24"/>
      <c r="S88" s="5"/>
      <c r="T88" s="5"/>
      <c r="U88" s="5"/>
      <c r="V88" s="5"/>
      <c r="W88" s="5"/>
      <c r="X88" s="5"/>
      <c r="Y88" s="5"/>
    </row>
    <row r="89" spans="1:25" s="11" customFormat="1" x14ac:dyDescent="0.2">
      <c r="A89" s="24"/>
      <c r="B89" s="24"/>
      <c r="S89" s="5"/>
      <c r="T89" s="5"/>
      <c r="U89" s="5"/>
      <c r="V89" s="5"/>
      <c r="W89" s="5"/>
      <c r="X89" s="5"/>
      <c r="Y89" s="5"/>
    </row>
    <row r="90" spans="1:25" s="11" customFormat="1" x14ac:dyDescent="0.2">
      <c r="A90" s="24"/>
      <c r="B90" s="24"/>
      <c r="S90" s="5"/>
      <c r="T90" s="5"/>
      <c r="U90" s="5"/>
      <c r="V90" s="5"/>
      <c r="W90" s="5"/>
      <c r="X90" s="5"/>
      <c r="Y90" s="5"/>
    </row>
    <row r="91" spans="1:25" s="11" customFormat="1" x14ac:dyDescent="0.2">
      <c r="A91" s="24"/>
      <c r="B91" s="24"/>
      <c r="S91" s="5"/>
      <c r="T91" s="5"/>
      <c r="U91" s="5"/>
      <c r="V91" s="5"/>
      <c r="W91" s="5"/>
      <c r="X91" s="5"/>
      <c r="Y91" s="5"/>
    </row>
    <row r="92" spans="1:25" s="11" customFormat="1" x14ac:dyDescent="0.2">
      <c r="A92" s="24"/>
      <c r="B92" s="24"/>
      <c r="S92" s="5"/>
      <c r="T92" s="5"/>
      <c r="U92" s="5"/>
      <c r="V92" s="5"/>
      <c r="W92" s="5"/>
      <c r="X92" s="5"/>
      <c r="Y92" s="5"/>
    </row>
    <row r="93" spans="1:25" s="11" customFormat="1" x14ac:dyDescent="0.2">
      <c r="A93" s="24"/>
      <c r="B93" s="24"/>
      <c r="S93" s="5"/>
      <c r="T93" s="5"/>
      <c r="U93" s="5"/>
      <c r="V93" s="5"/>
      <c r="W93" s="5"/>
      <c r="X93" s="5"/>
      <c r="Y93" s="5"/>
    </row>
    <row r="94" spans="1:25" s="11" customFormat="1" x14ac:dyDescent="0.2">
      <c r="A94" s="24"/>
      <c r="B94" s="24"/>
      <c r="S94" s="5"/>
      <c r="T94" s="5"/>
      <c r="U94" s="5"/>
      <c r="V94" s="5"/>
      <c r="W94" s="5"/>
      <c r="X94" s="5"/>
      <c r="Y94" s="5"/>
    </row>
    <row r="95" spans="1:25" s="11" customFormat="1" x14ac:dyDescent="0.2">
      <c r="A95" s="24"/>
      <c r="B95" s="24"/>
      <c r="S95" s="5"/>
      <c r="T95" s="5"/>
      <c r="U95" s="5"/>
      <c r="V95" s="5"/>
      <c r="W95" s="5"/>
      <c r="X95" s="5"/>
      <c r="Y95" s="5"/>
    </row>
    <row r="96" spans="1:25" s="11" customFormat="1" x14ac:dyDescent="0.2">
      <c r="A96" s="24"/>
      <c r="B96" s="24"/>
      <c r="S96" s="5"/>
      <c r="T96" s="5"/>
      <c r="U96" s="5"/>
      <c r="V96" s="5"/>
      <c r="W96" s="5"/>
      <c r="X96" s="5"/>
      <c r="Y96" s="5"/>
    </row>
    <row r="97" spans="1:25" s="11" customFormat="1" x14ac:dyDescent="0.2">
      <c r="A97" s="24"/>
      <c r="B97" s="24"/>
      <c r="S97" s="5"/>
      <c r="T97" s="5"/>
      <c r="U97" s="5"/>
      <c r="V97" s="5"/>
      <c r="W97" s="5"/>
      <c r="X97" s="5"/>
      <c r="Y97" s="5"/>
    </row>
    <row r="98" spans="1:25" s="11" customFormat="1" x14ac:dyDescent="0.2">
      <c r="A98" s="24"/>
      <c r="B98" s="24"/>
      <c r="S98" s="5"/>
      <c r="T98" s="5"/>
      <c r="U98" s="5"/>
      <c r="V98" s="5"/>
      <c r="W98" s="5"/>
      <c r="X98" s="5"/>
      <c r="Y98" s="5"/>
    </row>
    <row r="99" spans="1:25" s="11" customFormat="1" x14ac:dyDescent="0.2">
      <c r="A99" s="24"/>
      <c r="B99" s="24"/>
      <c r="S99" s="5"/>
      <c r="T99" s="5"/>
      <c r="U99" s="5"/>
      <c r="V99" s="5"/>
      <c r="W99" s="5"/>
      <c r="X99" s="5"/>
      <c r="Y99" s="5"/>
    </row>
    <row r="100" spans="1:25" s="11" customFormat="1" x14ac:dyDescent="0.2">
      <c r="A100" s="24"/>
      <c r="B100" s="24"/>
      <c r="S100" s="5"/>
      <c r="T100" s="5"/>
      <c r="U100" s="5"/>
      <c r="V100" s="5"/>
      <c r="W100" s="5"/>
      <c r="X100" s="5"/>
      <c r="Y100" s="5"/>
    </row>
    <row r="101" spans="1:25" s="11" customFormat="1" x14ac:dyDescent="0.2">
      <c r="A101" s="24"/>
      <c r="B101" s="24"/>
      <c r="S101" s="5"/>
      <c r="T101" s="5"/>
      <c r="U101" s="5"/>
      <c r="V101" s="5"/>
      <c r="W101" s="5"/>
      <c r="X101" s="5"/>
      <c r="Y101" s="5"/>
    </row>
    <row r="102" spans="1:25" s="11" customFormat="1" x14ac:dyDescent="0.2">
      <c r="A102" s="47"/>
      <c r="B102" s="24"/>
      <c r="S102" s="5"/>
      <c r="T102" s="5"/>
      <c r="U102" s="5"/>
      <c r="V102" s="5"/>
      <c r="W102" s="5"/>
      <c r="X102" s="5"/>
      <c r="Y102" s="5"/>
    </row>
    <row r="103" spans="1:25" s="11" customFormat="1" x14ac:dyDescent="0.2">
      <c r="A103" s="47"/>
      <c r="B103" s="24"/>
      <c r="S103" s="5"/>
      <c r="T103" s="5"/>
      <c r="U103" s="5"/>
      <c r="V103" s="5"/>
      <c r="W103" s="5"/>
      <c r="X103" s="5"/>
      <c r="Y103" s="5"/>
    </row>
    <row r="104" spans="1:25" s="11" customFormat="1" x14ac:dyDescent="0.2">
      <c r="A104" s="47"/>
      <c r="B104" s="24"/>
      <c r="S104" s="5"/>
      <c r="T104" s="5"/>
      <c r="U104" s="5"/>
      <c r="V104" s="5"/>
      <c r="W104" s="5"/>
      <c r="X104" s="5"/>
      <c r="Y104" s="5"/>
    </row>
    <row r="105" spans="1:25" s="11" customFormat="1" x14ac:dyDescent="0.2">
      <c r="A105" s="24"/>
      <c r="B105" s="24"/>
      <c r="S105" s="5"/>
      <c r="T105" s="5"/>
      <c r="U105" s="5"/>
      <c r="V105" s="5"/>
      <c r="W105" s="5"/>
      <c r="X105" s="5"/>
      <c r="Y105" s="5"/>
    </row>
    <row r="106" spans="1:25" s="11" customFormat="1" x14ac:dyDescent="0.2">
      <c r="A106" s="24"/>
      <c r="B106" s="24"/>
      <c r="S106" s="5"/>
      <c r="T106" s="5"/>
      <c r="U106" s="5"/>
      <c r="V106" s="5"/>
      <c r="W106" s="5"/>
      <c r="X106" s="5"/>
      <c r="Y106" s="5"/>
    </row>
    <row r="107" spans="1:25" s="11" customFormat="1" x14ac:dyDescent="0.2">
      <c r="A107" s="24"/>
      <c r="B107" s="24"/>
      <c r="S107" s="5"/>
      <c r="T107" s="5"/>
      <c r="U107" s="5"/>
      <c r="V107" s="5"/>
      <c r="W107" s="5"/>
      <c r="X107" s="5"/>
      <c r="Y107" s="5"/>
    </row>
    <row r="108" spans="1:25" s="11" customFormat="1" x14ac:dyDescent="0.2">
      <c r="A108" s="24"/>
      <c r="B108" s="24"/>
      <c r="S108" s="5"/>
      <c r="T108" s="5"/>
      <c r="U108" s="5"/>
      <c r="V108" s="5"/>
      <c r="W108" s="5"/>
      <c r="X108" s="5"/>
      <c r="Y108" s="5"/>
    </row>
    <row r="109" spans="1:25" s="11" customFormat="1" x14ac:dyDescent="0.2">
      <c r="A109" s="24"/>
      <c r="B109" s="24"/>
      <c r="S109" s="5"/>
      <c r="T109" s="5"/>
      <c r="U109" s="5"/>
      <c r="V109" s="5"/>
      <c r="W109" s="5"/>
      <c r="X109" s="5"/>
      <c r="Y109" s="5"/>
    </row>
    <row r="110" spans="1:25" s="11" customFormat="1" x14ac:dyDescent="0.2">
      <c r="A110" s="24"/>
      <c r="B110" s="24"/>
    </row>
    <row r="111" spans="1:25" s="11" customFormat="1" x14ac:dyDescent="0.2">
      <c r="A111" s="24"/>
      <c r="B111" s="24"/>
    </row>
    <row r="112" spans="1:25" s="11" customFormat="1" x14ac:dyDescent="0.2">
      <c r="A112" s="24"/>
      <c r="B112" s="24"/>
    </row>
    <row r="113" spans="1:2" s="11" customFormat="1" x14ac:dyDescent="0.2">
      <c r="A113" s="24"/>
      <c r="B113" s="24"/>
    </row>
    <row r="114" spans="1:2" s="11" customFormat="1" x14ac:dyDescent="0.2">
      <c r="A114" s="24"/>
      <c r="B114" s="24"/>
    </row>
    <row r="115" spans="1:2" s="11" customFormat="1" x14ac:dyDescent="0.2">
      <c r="A115" s="24"/>
      <c r="B115" s="24"/>
    </row>
    <row r="116" spans="1:2" s="11" customFormat="1" x14ac:dyDescent="0.2">
      <c r="A116" s="24"/>
      <c r="B116" s="24"/>
    </row>
    <row r="117" spans="1:2" s="11" customFormat="1" x14ac:dyDescent="0.2">
      <c r="A117" s="24"/>
      <c r="B117" s="24"/>
    </row>
    <row r="118" spans="1:2" s="11" customFormat="1" x14ac:dyDescent="0.2">
      <c r="A118" s="24"/>
      <c r="B118" s="24"/>
    </row>
    <row r="119" spans="1:2" s="11" customFormat="1" x14ac:dyDescent="0.2">
      <c r="A119" s="24"/>
      <c r="B119" s="24"/>
    </row>
    <row r="120" spans="1:2" s="11" customFormat="1" x14ac:dyDescent="0.2">
      <c r="A120" s="24"/>
      <c r="B120" s="24"/>
    </row>
    <row r="121" spans="1:2" s="7" customFormat="1" x14ac:dyDescent="0.2">
      <c r="A121" s="49"/>
      <c r="B121" s="49"/>
    </row>
    <row r="122" spans="1:2" s="7" customFormat="1" x14ac:dyDescent="0.2">
      <c r="A122" s="49"/>
      <c r="B122" s="49"/>
    </row>
    <row r="123" spans="1:2" s="7" customFormat="1" x14ac:dyDescent="0.2">
      <c r="A123" s="49"/>
      <c r="B123" s="49"/>
    </row>
    <row r="124" spans="1:2" s="7" customFormat="1" x14ac:dyDescent="0.2">
      <c r="A124" s="49"/>
      <c r="B124" s="49"/>
    </row>
    <row r="125" spans="1:2" s="7" customFormat="1" x14ac:dyDescent="0.2">
      <c r="A125" s="49"/>
      <c r="B125" s="49"/>
    </row>
    <row r="126" spans="1:2" s="7" customFormat="1" x14ac:dyDescent="0.2">
      <c r="A126" s="49"/>
      <c r="B126" s="49"/>
    </row>
    <row r="127" spans="1:2" s="7" customFormat="1" x14ac:dyDescent="0.2">
      <c r="A127" s="49"/>
      <c r="B127" s="49"/>
    </row>
    <row r="128" spans="1:2" s="7" customFormat="1" x14ac:dyDescent="0.2">
      <c r="A128" s="49"/>
      <c r="B128" s="49"/>
    </row>
    <row r="129" spans="1:2" s="7" customFormat="1" x14ac:dyDescent="0.2">
      <c r="A129" s="49"/>
      <c r="B129" s="49"/>
    </row>
    <row r="130" spans="1:2" s="11" customFormat="1" x14ac:dyDescent="0.2">
      <c r="A130" s="24"/>
      <c r="B130" s="24"/>
    </row>
    <row r="131" spans="1:2" s="11" customFormat="1" x14ac:dyDescent="0.2">
      <c r="A131" s="24"/>
      <c r="B131" s="24"/>
    </row>
    <row r="132" spans="1:2" s="11" customFormat="1" x14ac:dyDescent="0.2">
      <c r="A132" s="24"/>
      <c r="B132" s="24"/>
    </row>
    <row r="133" spans="1:2" s="11" customFormat="1" x14ac:dyDescent="0.2">
      <c r="A133" s="24"/>
      <c r="B133" s="24"/>
    </row>
    <row r="134" spans="1:2" s="11" customFormat="1" x14ac:dyDescent="0.2">
      <c r="A134" s="24"/>
      <c r="B134" s="24"/>
    </row>
    <row r="135" spans="1:2" s="11" customFormat="1" x14ac:dyDescent="0.2">
      <c r="A135" s="24"/>
      <c r="B135" s="24"/>
    </row>
    <row r="136" spans="1:2" s="11" customFormat="1" x14ac:dyDescent="0.2">
      <c r="A136" s="24"/>
      <c r="B136" s="24"/>
    </row>
    <row r="137" spans="1:2" s="11" customFormat="1" x14ac:dyDescent="0.2">
      <c r="A137" s="24"/>
      <c r="B137" s="24"/>
    </row>
    <row r="138" spans="1:2" s="11" customFormat="1" x14ac:dyDescent="0.2">
      <c r="A138" s="24"/>
      <c r="B138" s="24"/>
    </row>
  </sheetData>
  <mergeCells count="61">
    <mergeCell ref="C34:D34"/>
    <mergeCell ref="C35:D35"/>
    <mergeCell ref="C36:D36"/>
    <mergeCell ref="C37:D37"/>
    <mergeCell ref="E13:E16"/>
    <mergeCell ref="C19:D19"/>
    <mergeCell ref="C29:D29"/>
    <mergeCell ref="E29:F29"/>
    <mergeCell ref="C33:D33"/>
    <mergeCell ref="C50:D50"/>
    <mergeCell ref="C40:D40"/>
    <mergeCell ref="C41:D41"/>
    <mergeCell ref="C44:D44"/>
    <mergeCell ref="C46:D46"/>
    <mergeCell ref="C42:D42"/>
    <mergeCell ref="S41:T41"/>
    <mergeCell ref="K36:L36"/>
    <mergeCell ref="C51:D51"/>
    <mergeCell ref="M13:M16"/>
    <mergeCell ref="U13:U16"/>
    <mergeCell ref="K19:L19"/>
    <mergeCell ref="S19:T19"/>
    <mergeCell ref="K29:L29"/>
    <mergeCell ref="M29:N29"/>
    <mergeCell ref="S29:T29"/>
    <mergeCell ref="K34:L34"/>
    <mergeCell ref="K35:L35"/>
    <mergeCell ref="U29:V29"/>
    <mergeCell ref="K33:L33"/>
    <mergeCell ref="S33:T33"/>
    <mergeCell ref="S44:T44"/>
    <mergeCell ref="K37:L37"/>
    <mergeCell ref="C45:D45"/>
    <mergeCell ref="K51:L51"/>
    <mergeCell ref="S34:T34"/>
    <mergeCell ref="S35:T35"/>
    <mergeCell ref="S36:T36"/>
    <mergeCell ref="S37:T37"/>
    <mergeCell ref="S46:T46"/>
    <mergeCell ref="S47:T47"/>
    <mergeCell ref="S50:T50"/>
    <mergeCell ref="S51:T51"/>
    <mergeCell ref="K41:L41"/>
    <mergeCell ref="K44:L44"/>
    <mergeCell ref="K50:L50"/>
    <mergeCell ref="K40:L40"/>
    <mergeCell ref="S40:T40"/>
    <mergeCell ref="S42:T42"/>
    <mergeCell ref="C43:D43"/>
    <mergeCell ref="K43:L43"/>
    <mergeCell ref="S43:T43"/>
    <mergeCell ref="C49:D49"/>
    <mergeCell ref="K49:L49"/>
    <mergeCell ref="S49:T49"/>
    <mergeCell ref="C48:D48"/>
    <mergeCell ref="K48:L48"/>
    <mergeCell ref="S48:T48"/>
    <mergeCell ref="K46:L46"/>
    <mergeCell ref="K47:L47"/>
    <mergeCell ref="C47:D47"/>
    <mergeCell ref="K42:L42"/>
  </mergeCells>
  <dataValidations count="3">
    <dataValidation type="list" allowBlank="1" showInputMessage="1" showErrorMessage="1" sqref="C34:C36 K34:K36 S34:S36">
      <formula1>lst_énergie</formula1>
    </dataValidation>
    <dataValidation type="list" allowBlank="1" showInputMessage="1" showErrorMessage="1" sqref="U34:U37 M34:M37 E34:E39">
      <formula1>"individuel,collectif"</formula1>
    </dataValidation>
    <dataValidation type="list" allowBlank="1" showInputMessage="1" showErrorMessage="1" sqref="C19:D19 K19:L19 S19:T19">
      <formula1>$C$9:$E$9</formula1>
    </dataValidation>
  </dataValidations>
  <pageMargins left="0.23622047244094491" right="0.23622047244094491" top="0.74803149606299213" bottom="0.74803149606299213" header="0.31496062992125984" footer="0.31496062992125984"/>
  <pageSetup paperSize="8" scale="63" orientation="landscape" r:id="rId1"/>
  <headerFooter>
    <oddHeader>&amp;R&amp;D</oddHeader>
    <oddFooter>&amp;L&amp;F / &amp;A&amp;R&amp;P / &amp;N</oddFooter>
  </headerFooter>
  <colBreaks count="1" manualBreakCount="1">
    <brk id="18" max="75"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HYPOTHESES!$B$38:$B$60</xm:f>
          </x14:formula1>
          <xm:sqref>C47:D48 K47:L48 S47:T48</xm:sqref>
        </x14:dataValidation>
        <x14:dataValidation type="list" allowBlank="1" showInputMessage="1" showErrorMessage="1">
          <x14:formula1>
            <xm:f>HYPOTHESES!$B$19:$B$31</xm:f>
          </x14:formula1>
          <xm:sqref>C41:D42 K41:L42 S41:T42</xm:sqref>
        </x14:dataValidation>
        <x14:dataValidation type="list" allowBlank="1" showInputMessage="1" showErrorMessage="1">
          <x14:formula1>
            <xm:f>HYPOTHESES!$B$32:$B$34</xm:f>
          </x14:formula1>
          <xm:sqref>C43:D44 K43:L44 S43:T44</xm:sqref>
        </x14:dataValidation>
        <x14:dataValidation type="list" allowBlank="1" showInputMessage="1" showErrorMessage="1">
          <x14:formula1>
            <xm:f>HYPOTHESES!$B$61:$B$65</xm:f>
          </x14:formula1>
          <xm:sqref>C49:D50 K49:L50 S49:T50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84"/>
  <sheetViews>
    <sheetView showGridLines="0" topLeftCell="A10" zoomScaleNormal="100" workbookViewId="0"/>
  </sheetViews>
  <sheetFormatPr baseColWidth="10" defaultColWidth="11" defaultRowHeight="12.75" x14ac:dyDescent="0.2"/>
  <cols>
    <col min="1" max="1" width="2.75" style="30" customWidth="1"/>
    <col min="2" max="2" width="40.625" style="30" customWidth="1"/>
    <col min="3" max="5" width="15.625" style="30" customWidth="1"/>
    <col min="6" max="6" width="50.625" style="44" customWidth="1"/>
    <col min="7" max="16384" width="11" style="30"/>
  </cols>
  <sheetData>
    <row r="1" spans="1:6" x14ac:dyDescent="0.2">
      <c r="B1" s="33"/>
    </row>
    <row r="2" spans="1:6" s="757" customFormat="1" ht="16.5" thickBot="1" x14ac:dyDescent="0.25">
      <c r="A2" s="752"/>
      <c r="B2" s="753" t="str">
        <f>CONCATENATE("RESULTATS - COÛT GLOBAL - ",amortissement," ans")</f>
        <v>RESULTATS - COÛT GLOBAL - 40 ans</v>
      </c>
      <c r="C2" s="754"/>
      <c r="D2" s="755"/>
      <c r="E2" s="755"/>
      <c r="F2" s="756" t="s">
        <v>493</v>
      </c>
    </row>
    <row r="3" spans="1:6" x14ac:dyDescent="0.2">
      <c r="B3" s="493"/>
      <c r="C3" s="494"/>
      <c r="D3" s="495"/>
      <c r="E3" s="495"/>
      <c r="F3" s="380"/>
    </row>
    <row r="4" spans="1:6" x14ac:dyDescent="0.2">
      <c r="B4" s="496"/>
      <c r="C4" s="497" t="s">
        <v>179</v>
      </c>
      <c r="D4" s="498" t="s">
        <v>180</v>
      </c>
      <c r="E4" s="498" t="s">
        <v>181</v>
      </c>
    </row>
    <row r="5" spans="1:6" x14ac:dyDescent="0.2">
      <c r="B5" s="496" t="s">
        <v>17</v>
      </c>
      <c r="C5" s="499">
        <f>amortissement*(ATTRACTIVITE!C47+ATTRACTIVITE!C48)</f>
        <v>369224</v>
      </c>
      <c r="D5" s="500">
        <f>amortissement*(ATTRACTIVITE!E47+ATTRACTIVITE!E48)</f>
        <v>313840.40000000002</v>
      </c>
      <c r="E5" s="500">
        <f>amortissement*(ATTRACTIVITE!G47+ATTRACTIVITE!G48)</f>
        <v>313840.40000000002</v>
      </c>
    </row>
    <row r="6" spans="1:6" x14ac:dyDescent="0.2">
      <c r="B6" s="496" t="s">
        <v>363</v>
      </c>
      <c r="C6" s="499">
        <f>SUM('BATI-EQUIPEMENTS'!E2:E3)</f>
        <v>834121.90476190473</v>
      </c>
      <c r="D6" s="500">
        <f>SUM('BATI-EQUIPEMENTS'!K2:K3)</f>
        <v>813649.90476190473</v>
      </c>
      <c r="E6" s="500">
        <f>SUM('BATI-EQUIPEMENTS'!Q2:Q3)</f>
        <v>560950.4761904761</v>
      </c>
    </row>
    <row r="7" spans="1:6" x14ac:dyDescent="0.2">
      <c r="B7" s="496" t="s">
        <v>360</v>
      </c>
      <c r="C7" s="499">
        <f>SUM('BATI-EQUIPEMENTS'!F2)</f>
        <v>352192</v>
      </c>
      <c r="D7" s="500">
        <f>SUM('BATI-EQUIPEMENTS'!L2)</f>
        <v>8000</v>
      </c>
      <c r="E7" s="500">
        <f>SUM('BATI-EQUIPEMENTS'!R2)</f>
        <v>8000</v>
      </c>
    </row>
    <row r="8" spans="1:6" x14ac:dyDescent="0.2">
      <c r="B8" s="496" t="s">
        <v>487</v>
      </c>
      <c r="C8" s="499">
        <f>SUM('BATI-EQUIPEMENTS'!F3)</f>
        <v>256528</v>
      </c>
      <c r="D8" s="500">
        <f>SUM('BATI-EQUIPEMENTS'!L3)</f>
        <v>256528</v>
      </c>
      <c r="E8" s="500">
        <f>SUM('BATI-EQUIPEMENTS'!R3)</f>
        <v>247328</v>
      </c>
      <c r="F8" s="395"/>
    </row>
    <row r="9" spans="1:6" x14ac:dyDescent="0.2">
      <c r="B9" s="496" t="s">
        <v>324</v>
      </c>
      <c r="C9" s="499">
        <f>ENERGIE!I72</f>
        <v>3122102.2611469883</v>
      </c>
      <c r="D9" s="500">
        <f>ENERGIE!Q72+ENERGIE!Q72*D48</f>
        <v>1099585.547031194</v>
      </c>
      <c r="E9" s="500">
        <f>ENERGIE!Y72+ENERGIE!Y72*E48</f>
        <v>750353.36103760288</v>
      </c>
      <c r="F9" s="395" t="s">
        <v>514</v>
      </c>
    </row>
    <row r="10" spans="1:6" x14ac:dyDescent="0.2">
      <c r="B10" s="496" t="s">
        <v>323</v>
      </c>
      <c r="C10" s="571">
        <f>ENERGIE!D63</f>
        <v>241958</v>
      </c>
      <c r="D10" s="500">
        <f>ENERGIE!L63</f>
        <v>241958</v>
      </c>
      <c r="E10" s="500">
        <f>ENERGIE!T63</f>
        <v>241958</v>
      </c>
    </row>
    <row r="11" spans="1:6" x14ac:dyDescent="0.2">
      <c r="B11" s="496" t="s">
        <v>486</v>
      </c>
      <c r="C11" s="571">
        <v>0</v>
      </c>
      <c r="D11" s="570">
        <f>METHODOLOGIE!F11+SUM('BATI-EQUIPEMENTS'!J2:J3)</f>
        <v>843924.41860465112</v>
      </c>
      <c r="E11" s="570">
        <f>METHODOLOGIE!J11+SUM('BATI-EQUIPEMENTS'!P2:P3)</f>
        <v>1042644.4186046511</v>
      </c>
      <c r="F11" s="569" t="s">
        <v>753</v>
      </c>
    </row>
    <row r="12" spans="1:6" ht="13.5" thickBot="1" x14ac:dyDescent="0.25">
      <c r="B12" s="572" t="s">
        <v>603</v>
      </c>
      <c r="C12" s="573">
        <v>0</v>
      </c>
      <c r="D12" s="570">
        <f>COUT_EMPRUNT</f>
        <v>114715.42976708601</v>
      </c>
      <c r="E12" s="570">
        <f>COUT_EMPRUNT</f>
        <v>114715.42976708601</v>
      </c>
      <c r="F12" s="30"/>
    </row>
    <row r="13" spans="1:6" ht="13.5" thickTop="1" x14ac:dyDescent="0.2">
      <c r="B13" s="501" t="str">
        <f>CONCATENATE("Coût global sur ",amortissement," ans")</f>
        <v>Coût global sur 40 ans</v>
      </c>
      <c r="C13" s="502">
        <f>SUM(C5:C11)</f>
        <v>5176126.1659088936</v>
      </c>
      <c r="D13" s="503">
        <f>SUM(D5:D12)</f>
        <v>3692201.7001648359</v>
      </c>
      <c r="E13" s="503">
        <f>SUM(E5:E12)</f>
        <v>3279790.0855998159</v>
      </c>
    </row>
    <row r="14" spans="1:6" x14ac:dyDescent="0.2">
      <c r="B14" s="493"/>
      <c r="C14" s="504"/>
      <c r="D14" s="329">
        <f>D13-C13</f>
        <v>-1483924.4657440577</v>
      </c>
      <c r="E14" s="329">
        <f>E13-C13</f>
        <v>-1896336.0803090776</v>
      </c>
      <c r="F14" s="395" t="s">
        <v>515</v>
      </c>
    </row>
    <row r="15" spans="1:6" x14ac:dyDescent="0.2">
      <c r="B15" s="493"/>
      <c r="C15" s="504"/>
      <c r="D15" s="504"/>
      <c r="E15" s="504"/>
    </row>
    <row r="16" spans="1:6" s="757" customFormat="1" ht="16.5" thickBot="1" x14ac:dyDescent="0.25">
      <c r="A16" s="752"/>
      <c r="B16" s="753" t="str">
        <f>CONCATENATE("DECOMPOSITION - COÛT GLOBAL - ",amortissement," ans")</f>
        <v>DECOMPOSITION - COÛT GLOBAL - 40 ans</v>
      </c>
      <c r="C16" s="754"/>
      <c r="D16" s="755"/>
      <c r="E16" s="755"/>
      <c r="F16" s="756" t="s">
        <v>493</v>
      </c>
    </row>
    <row r="17" spans="1:9" ht="45" x14ac:dyDescent="0.2">
      <c r="A17" s="504"/>
      <c r="B17" s="746"/>
      <c r="C17" s="759" t="s">
        <v>376</v>
      </c>
      <c r="D17" s="759" t="s">
        <v>377</v>
      </c>
      <c r="E17" s="759" t="s">
        <v>378</v>
      </c>
      <c r="F17" s="380"/>
    </row>
    <row r="18" spans="1:9" x14ac:dyDescent="0.2">
      <c r="A18" s="504"/>
      <c r="B18" s="496" t="s">
        <v>488</v>
      </c>
      <c r="C18" s="497" t="s">
        <v>179</v>
      </c>
      <c r="D18" s="498" t="s">
        <v>180</v>
      </c>
      <c r="E18" s="498" t="s">
        <v>181</v>
      </c>
    </row>
    <row r="19" spans="1:9" x14ac:dyDescent="0.2">
      <c r="A19" s="504"/>
      <c r="B19" s="496" t="str">
        <f t="shared" ref="B19:E20" si="0">B5</f>
        <v>Attractivité</v>
      </c>
      <c r="C19" s="499">
        <f t="shared" si="0"/>
        <v>369224</v>
      </c>
      <c r="D19" s="500">
        <f t="shared" si="0"/>
        <v>313840.40000000002</v>
      </c>
      <c r="E19" s="500">
        <f t="shared" si="0"/>
        <v>313840.40000000002</v>
      </c>
    </row>
    <row r="20" spans="1:9" x14ac:dyDescent="0.2">
      <c r="A20" s="504"/>
      <c r="B20" s="496" t="str">
        <f t="shared" si="0"/>
        <v>Renouvellement (bâti et équipements)</v>
      </c>
      <c r="C20" s="499">
        <f t="shared" si="0"/>
        <v>834121.90476190473</v>
      </c>
      <c r="D20" s="500">
        <f t="shared" si="0"/>
        <v>813649.90476190473</v>
      </c>
      <c r="E20" s="500">
        <f t="shared" si="0"/>
        <v>560950.4761904761</v>
      </c>
    </row>
    <row r="21" spans="1:9" x14ac:dyDescent="0.2">
      <c r="A21" s="504"/>
      <c r="B21" s="496" t="str">
        <f>B7</f>
        <v>Entretien bâti</v>
      </c>
      <c r="C21" s="499">
        <f>SUM(C53:C57)</f>
        <v>352192</v>
      </c>
      <c r="D21" s="500">
        <f>SUM(D53:D57)</f>
        <v>8000</v>
      </c>
      <c r="E21" s="500">
        <f>SUM(E53:E57)</f>
        <v>8000</v>
      </c>
    </row>
    <row r="22" spans="1:9" x14ac:dyDescent="0.2">
      <c r="A22" s="504"/>
      <c r="B22" s="496" t="str">
        <f>B8</f>
        <v>Entretien maintenance équipements</v>
      </c>
      <c r="C22" s="499">
        <f>SUM(C58:C60)</f>
        <v>256528</v>
      </c>
      <c r="D22" s="500">
        <f>SUM(D58:D60)</f>
        <v>256528</v>
      </c>
      <c r="E22" s="500">
        <f>SUM(E58:E60)</f>
        <v>247328</v>
      </c>
    </row>
    <row r="23" spans="1:9" x14ac:dyDescent="0.2">
      <c r="A23" s="504"/>
      <c r="B23" s="496" t="s">
        <v>373</v>
      </c>
      <c r="C23" s="499">
        <f>ENERGIE!I73</f>
        <v>2915804.4145166725</v>
      </c>
      <c r="D23" s="500">
        <f>ENERGIE!Q73+ENERGIE!Q73*D48</f>
        <v>883463.9934184826</v>
      </c>
      <c r="E23" s="500">
        <f>ENERGIE!Y73+ENERGIE!Y73*E48</f>
        <v>566701.51149892248</v>
      </c>
      <c r="F23" s="413"/>
    </row>
    <row r="24" spans="1:9" x14ac:dyDescent="0.2">
      <c r="A24" s="504"/>
      <c r="B24" s="496" t="s">
        <v>372</v>
      </c>
      <c r="C24" s="499">
        <f>ENERGIE!D57*amortissement</f>
        <v>13890</v>
      </c>
      <c r="D24" s="500">
        <f>ENERGIE!L57*amortissement</f>
        <v>13890</v>
      </c>
      <c r="E24" s="500">
        <f>ENERGIE!T57*amortissement</f>
        <v>13890</v>
      </c>
      <c r="F24" s="413"/>
    </row>
    <row r="25" spans="1:9" x14ac:dyDescent="0.2">
      <c r="A25" s="504"/>
      <c r="B25" s="496" t="str">
        <f>B11</f>
        <v>Investissement</v>
      </c>
      <c r="C25" s="499">
        <f>C11</f>
        <v>0</v>
      </c>
      <c r="D25" s="500">
        <f t="shared" ref="D25:E25" si="1">D11</f>
        <v>843924.41860465112</v>
      </c>
      <c r="E25" s="500">
        <f t="shared" si="1"/>
        <v>1042644.4186046511</v>
      </c>
      <c r="F25" s="413"/>
    </row>
    <row r="26" spans="1:9" ht="13.5" thickBot="1" x14ac:dyDescent="0.25">
      <c r="A26" s="504"/>
      <c r="B26" s="496" t="str">
        <f>B12</f>
        <v>Coût emprunt</v>
      </c>
      <c r="C26" s="499">
        <f>C12</f>
        <v>0</v>
      </c>
      <c r="D26" s="500">
        <f>D12</f>
        <v>114715.42976708601</v>
      </c>
      <c r="E26" s="500">
        <f>E12</f>
        <v>114715.42976708601</v>
      </c>
    </row>
    <row r="27" spans="1:9" ht="13.5" thickTop="1" x14ac:dyDescent="0.2">
      <c r="A27" s="504"/>
      <c r="B27" s="501" t="str">
        <f>CONCATENATE("Coût global bailleur sur ",amortissement," ans")</f>
        <v>Coût global bailleur sur 40 ans</v>
      </c>
      <c r="C27" s="502">
        <f>SUM(C19:C26)</f>
        <v>4741760.3192785773</v>
      </c>
      <c r="D27" s="503">
        <f>SUM(D19:D26)</f>
        <v>3248012.1465521245</v>
      </c>
      <c r="E27" s="503">
        <f>SUM(E19:E26)</f>
        <v>2868070.2360611358</v>
      </c>
      <c r="F27" s="413"/>
      <c r="G27" s="859"/>
      <c r="H27" s="859"/>
      <c r="I27" s="859"/>
    </row>
    <row r="28" spans="1:9" x14ac:dyDescent="0.2">
      <c r="A28" s="504"/>
      <c r="B28" s="493"/>
      <c r="C28" s="504"/>
      <c r="D28" s="504"/>
      <c r="E28" s="504"/>
    </row>
    <row r="29" spans="1:9" x14ac:dyDescent="0.2">
      <c r="A29" s="504"/>
      <c r="B29" s="496" t="s">
        <v>489</v>
      </c>
      <c r="C29" s="497" t="s">
        <v>179</v>
      </c>
      <c r="D29" s="498" t="s">
        <v>180</v>
      </c>
      <c r="E29" s="498" t="s">
        <v>181</v>
      </c>
    </row>
    <row r="30" spans="1:9" x14ac:dyDescent="0.2">
      <c r="A30" s="504"/>
      <c r="B30" s="496" t="s">
        <v>374</v>
      </c>
      <c r="C30" s="499">
        <f>ENERGIE!I74</f>
        <v>206297.8466303155</v>
      </c>
      <c r="D30" s="500">
        <f>ENERGIE!Q74+ENERGIE!Q74*D48</f>
        <v>216121.55361271143</v>
      </c>
      <c r="E30" s="500">
        <f>ENERGIE!Y74+ENERGIE!Y74*E48</f>
        <v>183651.84953868043</v>
      </c>
      <c r="F30" s="416"/>
      <c r="G30" s="416"/>
    </row>
    <row r="31" spans="1:9" ht="13.5" thickBot="1" x14ac:dyDescent="0.25">
      <c r="A31" s="504"/>
      <c r="B31" s="496" t="s">
        <v>375</v>
      </c>
      <c r="C31" s="499">
        <f>ENERGIE!D58*amortissement</f>
        <v>228068</v>
      </c>
      <c r="D31" s="500">
        <f>ENERGIE!L58*amortissement</f>
        <v>228068</v>
      </c>
      <c r="E31" s="500">
        <f>ENERGIE!T58*amortissement</f>
        <v>228068</v>
      </c>
      <c r="F31" s="394"/>
    </row>
    <row r="32" spans="1:9" ht="13.5" thickTop="1" x14ac:dyDescent="0.2">
      <c r="A32" s="504"/>
      <c r="B32" s="501" t="str">
        <f>CONCATENATE("Coût global locataire sur ",amortissement," ans")</f>
        <v>Coût global locataire sur 40 ans</v>
      </c>
      <c r="C32" s="502">
        <f>SUM(C30:C31)</f>
        <v>434365.84663031553</v>
      </c>
      <c r="D32" s="503">
        <f t="shared" ref="D32:E32" si="2">SUM(D30:D31)</f>
        <v>444189.55361271143</v>
      </c>
      <c r="E32" s="503">
        <f t="shared" si="2"/>
        <v>411719.8495386804</v>
      </c>
      <c r="G32" s="859"/>
      <c r="H32" s="859"/>
      <c r="I32" s="859"/>
    </row>
    <row r="33" spans="1:9" ht="13.5" thickBot="1" x14ac:dyDescent="0.25">
      <c r="A33" s="504"/>
      <c r="B33" s="857"/>
      <c r="C33" s="858"/>
      <c r="D33" s="858"/>
      <c r="E33" s="858"/>
    </row>
    <row r="34" spans="1:9" ht="13.5" thickTop="1" x14ac:dyDescent="0.2">
      <c r="A34" s="504"/>
      <c r="B34" s="501" t="s">
        <v>777</v>
      </c>
      <c r="C34" s="502"/>
      <c r="D34" s="503">
        <f>($C$27+$C$32-(D27+D32))</f>
        <v>1483924.4657440567</v>
      </c>
      <c r="E34" s="503">
        <f>($C$27+$C$32-(E27+E32))</f>
        <v>1896336.0803090762</v>
      </c>
      <c r="H34" s="859"/>
      <c r="I34" s="859"/>
    </row>
    <row r="35" spans="1:9" x14ac:dyDescent="0.2">
      <c r="A35" s="504"/>
      <c r="B35" s="493"/>
      <c r="C35" s="504"/>
      <c r="D35" s="504"/>
      <c r="E35" s="504"/>
    </row>
    <row r="36" spans="1:9" s="757" customFormat="1" ht="16.5" thickBot="1" x14ac:dyDescent="0.25">
      <c r="A36" s="752"/>
      <c r="B36" s="753" t="s">
        <v>219</v>
      </c>
      <c r="C36" s="754"/>
      <c r="D36" s="755"/>
      <c r="E36" s="755"/>
      <c r="F36" s="756" t="s">
        <v>493</v>
      </c>
    </row>
    <row r="37" spans="1:9" x14ac:dyDescent="0.2">
      <c r="A37" s="504"/>
      <c r="B37" s="493"/>
      <c r="C37" s="494"/>
      <c r="D37" s="495"/>
      <c r="E37" s="495"/>
      <c r="F37" s="380"/>
    </row>
    <row r="38" spans="1:9" x14ac:dyDescent="0.2">
      <c r="A38" s="273"/>
      <c r="B38" s="505"/>
      <c r="C38" s="506" t="s">
        <v>179</v>
      </c>
      <c r="D38" s="507" t="s">
        <v>180</v>
      </c>
      <c r="E38" s="507" t="s">
        <v>181</v>
      </c>
    </row>
    <row r="39" spans="1:9" x14ac:dyDescent="0.2">
      <c r="A39" s="273">
        <f>BD_METHODOLOGIE!E2</f>
        <v>6</v>
      </c>
      <c r="B39" s="508" t="str">
        <f>METHODOLOGIE!B15</f>
        <v>Origine de la rénovation</v>
      </c>
      <c r="C39" s="509"/>
      <c r="D39" s="510">
        <f>METHODOLOGIE!F2/A39*5</f>
        <v>3.333333333333333</v>
      </c>
      <c r="E39" s="510">
        <f>METHODOLOGIE!J2/A39*5</f>
        <v>3.333333333333333</v>
      </c>
    </row>
    <row r="40" spans="1:9" x14ac:dyDescent="0.2">
      <c r="A40" s="273">
        <f>BD_METHODOLOGIE!E3</f>
        <v>18</v>
      </c>
      <c r="B40" s="508" t="str">
        <f>METHODOLOGIE!B18</f>
        <v>Montage du projet</v>
      </c>
      <c r="C40" s="509"/>
      <c r="D40" s="510">
        <f>METHODOLOGIE!F3/A40*5</f>
        <v>2.7777777777777777</v>
      </c>
      <c r="E40" s="510">
        <f>METHODOLOGIE!J3/A40*5</f>
        <v>2.7777777777777777</v>
      </c>
    </row>
    <row r="41" spans="1:9" x14ac:dyDescent="0.2">
      <c r="A41" s="273">
        <f>BD_METHODOLOGIE!E4</f>
        <v>4</v>
      </c>
      <c r="B41" s="508" t="str">
        <f>METHODOLOGIE!B26</f>
        <v>Conception</v>
      </c>
      <c r="C41" s="509"/>
      <c r="D41" s="510">
        <f>METHODOLOGIE!F4/A41*5</f>
        <v>5</v>
      </c>
      <c r="E41" s="510">
        <f>METHODOLOGIE!J4/A41*5</f>
        <v>5</v>
      </c>
    </row>
    <row r="42" spans="1:9" x14ac:dyDescent="0.2">
      <c r="A42" s="273">
        <f>BD_METHODOLOGIE!E5</f>
        <v>15</v>
      </c>
      <c r="B42" s="508" t="str">
        <f>METHODOLOGIE!B30</f>
        <v>Réalisation</v>
      </c>
      <c r="C42" s="509"/>
      <c r="D42" s="510">
        <f>METHODOLOGIE!F5/A42*5</f>
        <v>2.6666666666666665</v>
      </c>
      <c r="E42" s="510">
        <f>METHODOLOGIE!J5/A42*5</f>
        <v>2.6666666666666665</v>
      </c>
    </row>
    <row r="43" spans="1:9" x14ac:dyDescent="0.2">
      <c r="A43" s="273">
        <f>BD_METHODOLOGIE!E6</f>
        <v>5</v>
      </c>
      <c r="B43" s="511" t="str">
        <f>METHODOLOGIE!B36</f>
        <v>Commissionnement</v>
      </c>
      <c r="C43" s="512"/>
      <c r="D43" s="513">
        <f>METHODOLOGIE!F6/A43*5</f>
        <v>1</v>
      </c>
      <c r="E43" s="513">
        <f>METHODOLOGIE!J6/A43*5</f>
        <v>1</v>
      </c>
    </row>
    <row r="44" spans="1:9" ht="13.5" thickBot="1" x14ac:dyDescent="0.25">
      <c r="A44" s="273">
        <f>BD_METHODOLOGIE!E7</f>
        <v>16</v>
      </c>
      <c r="B44" s="511" t="str">
        <f>METHODOLOGIE!B40</f>
        <v>Exploitation</v>
      </c>
      <c r="C44" s="512"/>
      <c r="D44" s="513">
        <f>METHODOLOGIE!F7/A44*5</f>
        <v>3.125</v>
      </c>
      <c r="E44" s="513">
        <f>METHODOLOGIE!J7/A44*5</f>
        <v>3.125</v>
      </c>
    </row>
    <row r="45" spans="1:9" ht="13.5" thickTop="1" x14ac:dyDescent="0.2">
      <c r="A45" s="273"/>
      <c r="B45" s="514" t="s">
        <v>492</v>
      </c>
      <c r="C45" s="515"/>
      <c r="D45" s="516">
        <f>SUM(D39:D44)</f>
        <v>17.902777777777779</v>
      </c>
      <c r="E45" s="516">
        <f>SUM(E39:E44)</f>
        <v>17.902777777777779</v>
      </c>
    </row>
    <row r="46" spans="1:9" x14ac:dyDescent="0.2">
      <c r="A46" s="273"/>
      <c r="B46" s="396"/>
      <c r="C46" s="397"/>
      <c r="D46" s="517"/>
      <c r="E46" s="517"/>
    </row>
    <row r="47" spans="1:9" x14ac:dyDescent="0.2">
      <c r="A47" s="273"/>
      <c r="B47" s="508" t="s">
        <v>357</v>
      </c>
      <c r="C47" s="766"/>
      <c r="D47" s="767">
        <f>METHODOLOGIE!F9</f>
        <v>5.9302325581395351E-2</v>
      </c>
      <c r="E47" s="767">
        <f>METHODOLOGIE!J9</f>
        <v>5.9302325581395351E-2</v>
      </c>
    </row>
    <row r="48" spans="1:9" x14ac:dyDescent="0.2">
      <c r="A48" s="273"/>
      <c r="B48" s="789" t="s">
        <v>755</v>
      </c>
      <c r="C48" s="768"/>
      <c r="D48" s="769">
        <f>METHODOLOGIE!$C$8-(SUM(METHODOLOGIE!$F$6:$F$7))*(METHODOLOGIE!$C$8-METHODOLOGIE!$C$9)/BD_METHODOLOGIE!$C$6</f>
        <v>4.7619047619047623E-2</v>
      </c>
      <c r="E48" s="769">
        <f>METHODOLOGIE!$C$8-(SUM(METHODOLOGIE!$J$6:$J$7))*(METHODOLOGIE!$C$8-METHODOLOGIE!$C$9)/BD_METHODOLOGIE!$C$6</f>
        <v>4.7619047619047623E-2</v>
      </c>
    </row>
    <row r="49" spans="1:6" x14ac:dyDescent="0.2">
      <c r="A49" s="273"/>
      <c r="B49" s="493"/>
      <c r="C49" s="504"/>
      <c r="D49" s="504"/>
      <c r="E49" s="504"/>
    </row>
    <row r="50" spans="1:6" s="757" customFormat="1" ht="16.5" thickBot="1" x14ac:dyDescent="0.25">
      <c r="A50" s="752"/>
      <c r="B50" s="753" t="str">
        <f>CONCATENATE("RESULTATS - EXPLOITATION - ",amortissement," ans")</f>
        <v>RESULTATS - EXPLOITATION - 40 ans</v>
      </c>
      <c r="C50" s="754"/>
      <c r="D50" s="755"/>
      <c r="E50" s="755"/>
      <c r="F50" s="756" t="s">
        <v>493</v>
      </c>
    </row>
    <row r="51" spans="1:6" x14ac:dyDescent="0.2">
      <c r="A51" s="504"/>
      <c r="B51" s="493"/>
      <c r="C51" s="494"/>
      <c r="D51" s="495"/>
      <c r="E51" s="495"/>
      <c r="F51" s="380"/>
    </row>
    <row r="52" spans="1:6" x14ac:dyDescent="0.2">
      <c r="A52" s="504"/>
      <c r="B52" s="505" t="s">
        <v>371</v>
      </c>
      <c r="C52" s="506" t="s">
        <v>179</v>
      </c>
      <c r="D52" s="507" t="s">
        <v>180</v>
      </c>
      <c r="E52" s="507" t="s">
        <v>181</v>
      </c>
    </row>
    <row r="53" spans="1:6" x14ac:dyDescent="0.2">
      <c r="A53" s="504"/>
      <c r="B53" s="505" t="s">
        <v>153</v>
      </c>
      <c r="C53" s="518">
        <f>SUM('BATI-EQUIPEMENTS'!F8:F9)</f>
        <v>0</v>
      </c>
      <c r="D53" s="500">
        <f>SUM('BATI-EQUIPEMENTS'!L8:L9)</f>
        <v>0</v>
      </c>
      <c r="E53" s="500">
        <f>SUM('BATI-EQUIPEMENTS'!R8:R9)</f>
        <v>0</v>
      </c>
    </row>
    <row r="54" spans="1:6" x14ac:dyDescent="0.2">
      <c r="A54" s="504"/>
      <c r="B54" s="505" t="s">
        <v>143</v>
      </c>
      <c r="C54" s="518">
        <f>SUM('BATI-EQUIPEMENTS'!F12:F12)</f>
        <v>207360</v>
      </c>
      <c r="D54" s="500">
        <f>SUM('BATI-EQUIPEMENTS'!L12:L12)</f>
        <v>0</v>
      </c>
      <c r="E54" s="500">
        <f>SUM('BATI-EQUIPEMENTS'!R12:R12)</f>
        <v>0</v>
      </c>
    </row>
    <row r="55" spans="1:6" x14ac:dyDescent="0.2">
      <c r="A55" s="504"/>
      <c r="B55" s="505" t="s">
        <v>144</v>
      </c>
      <c r="C55" s="518">
        <f>SUM('BATI-EQUIPEMENTS'!F15:F16)</f>
        <v>104831.99999999999</v>
      </c>
      <c r="D55" s="500">
        <f>SUM('BATI-EQUIPEMENTS'!L15:L16)</f>
        <v>0</v>
      </c>
      <c r="E55" s="500">
        <f>SUM('BATI-EQUIPEMENTS'!R15:R16)</f>
        <v>0</v>
      </c>
    </row>
    <row r="56" spans="1:6" x14ac:dyDescent="0.2">
      <c r="A56" s="504"/>
      <c r="B56" s="505" t="s">
        <v>146</v>
      </c>
      <c r="C56" s="518">
        <f>SUM('BATI-EQUIPEMENTS'!F19:F19)</f>
        <v>0</v>
      </c>
      <c r="D56" s="500">
        <f>SUM('BATI-EQUIPEMENTS'!L19:L19)</f>
        <v>0</v>
      </c>
      <c r="E56" s="500">
        <f>SUM('BATI-EQUIPEMENTS'!R19:R19)</f>
        <v>0</v>
      </c>
    </row>
    <row r="57" spans="1:6" x14ac:dyDescent="0.2">
      <c r="A57" s="504"/>
      <c r="B57" s="505" t="s">
        <v>152</v>
      </c>
      <c r="C57" s="518">
        <f>SUM('BATI-EQUIPEMENTS'!F22:F22)</f>
        <v>40000</v>
      </c>
      <c r="D57" s="500">
        <f>SUM('BATI-EQUIPEMENTS'!L22:L22)</f>
        <v>8000</v>
      </c>
      <c r="E57" s="500">
        <f>SUM('BATI-EQUIPEMENTS'!R22:R22)</f>
        <v>8000</v>
      </c>
    </row>
    <row r="58" spans="1:6" x14ac:dyDescent="0.2">
      <c r="A58" s="504"/>
      <c r="B58" s="505" t="s">
        <v>220</v>
      </c>
      <c r="C58" s="518">
        <f>SUM('BATI-EQUIPEMENTS'!F27:F29)</f>
        <v>208528</v>
      </c>
      <c r="D58" s="500">
        <f>SUM('BATI-EQUIPEMENTS'!L27:L29)</f>
        <v>208528</v>
      </c>
      <c r="E58" s="500">
        <f>SUM('BATI-EQUIPEMENTS'!R27:R29)</f>
        <v>199328</v>
      </c>
    </row>
    <row r="59" spans="1:6" x14ac:dyDescent="0.2">
      <c r="A59" s="504"/>
      <c r="B59" s="505" t="s">
        <v>221</v>
      </c>
      <c r="C59" s="518">
        <f>SUM('BATI-EQUIPEMENTS'!F32:F32)</f>
        <v>0</v>
      </c>
      <c r="D59" s="500">
        <f>SUM('BATI-EQUIPEMENTS'!L32:L32)</f>
        <v>0</v>
      </c>
      <c r="E59" s="500">
        <f>SUM('BATI-EQUIPEMENTS'!R32:R32)</f>
        <v>0</v>
      </c>
    </row>
    <row r="60" spans="1:6" x14ac:dyDescent="0.2">
      <c r="A60" s="504"/>
      <c r="B60" s="505" t="s">
        <v>222</v>
      </c>
      <c r="C60" s="518">
        <f>SUM('BATI-EQUIPEMENTS'!F35)</f>
        <v>48000</v>
      </c>
      <c r="D60" s="500">
        <f>SUM('BATI-EQUIPEMENTS'!L35)</f>
        <v>48000</v>
      </c>
      <c r="E60" s="500">
        <f>SUM('BATI-EQUIPEMENTS'!R35)</f>
        <v>48000</v>
      </c>
    </row>
    <row r="61" spans="1:6" x14ac:dyDescent="0.2">
      <c r="A61" s="504"/>
      <c r="B61" s="493"/>
      <c r="C61" s="519"/>
      <c r="D61" s="519"/>
      <c r="E61" s="519"/>
    </row>
    <row r="62" spans="1:6" s="757" customFormat="1" ht="16.5" thickBot="1" x14ac:dyDescent="0.25">
      <c r="A62" s="752"/>
      <c r="B62" s="753" t="s">
        <v>745</v>
      </c>
      <c r="C62" s="754"/>
      <c r="D62" s="755"/>
      <c r="E62" s="755"/>
      <c r="F62" s="756" t="s">
        <v>493</v>
      </c>
    </row>
    <row r="63" spans="1:6" ht="33.75" x14ac:dyDescent="0.2">
      <c r="A63" s="504"/>
      <c r="B63" s="758" t="s">
        <v>516</v>
      </c>
      <c r="C63" s="759" t="s">
        <v>331</v>
      </c>
      <c r="D63" s="759" t="s">
        <v>332</v>
      </c>
      <c r="E63" s="759" t="s">
        <v>333</v>
      </c>
      <c r="F63" s="380"/>
    </row>
    <row r="64" spans="1:6" x14ac:dyDescent="0.2">
      <c r="A64" s="504"/>
      <c r="B64" s="505" t="s">
        <v>490</v>
      </c>
      <c r="C64" s="506" t="s">
        <v>179</v>
      </c>
      <c r="D64" s="507" t="s">
        <v>180</v>
      </c>
      <c r="E64" s="507" t="s">
        <v>181</v>
      </c>
    </row>
    <row r="65" spans="1:6" x14ac:dyDescent="0.2">
      <c r="A65" s="504"/>
      <c r="B65" s="505" t="s">
        <v>329</v>
      </c>
      <c r="C65" s="770">
        <v>1100</v>
      </c>
      <c r="D65" s="771">
        <f>C65</f>
        <v>1100</v>
      </c>
      <c r="E65" s="771">
        <f>D65</f>
        <v>1100</v>
      </c>
    </row>
    <row r="66" spans="1:6" x14ac:dyDescent="0.2">
      <c r="A66" s="504"/>
      <c r="B66" s="505" t="s">
        <v>330</v>
      </c>
      <c r="C66" s="770">
        <v>300</v>
      </c>
      <c r="D66" s="771">
        <f>C66</f>
        <v>300</v>
      </c>
      <c r="E66" s="771">
        <f>D66</f>
        <v>300</v>
      </c>
    </row>
    <row r="67" spans="1:6" ht="5.0999999999999996" customHeight="1" x14ac:dyDescent="0.2">
      <c r="A67" s="504"/>
      <c r="B67" s="505"/>
      <c r="C67" s="520"/>
      <c r="D67" s="521"/>
      <c r="E67" s="521"/>
    </row>
    <row r="68" spans="1:6" x14ac:dyDescent="0.2">
      <c r="A68" s="504"/>
      <c r="B68" s="860" t="s">
        <v>44</v>
      </c>
      <c r="C68" s="520">
        <f>Surf_T3*ATTRACTIVITE!F9</f>
        <v>262.8</v>
      </c>
      <c r="D68" s="521">
        <f>Surf_T3*ATTRACTIVITE!F9</f>
        <v>262.8</v>
      </c>
      <c r="E68" s="521">
        <f>Surf_T3*ATTRACTIVITE!F9</f>
        <v>262.8</v>
      </c>
      <c r="F68" s="395" t="s">
        <v>604</v>
      </c>
    </row>
    <row r="69" spans="1:6" x14ac:dyDescent="0.2">
      <c r="A69" s="504"/>
      <c r="B69" s="860" t="s">
        <v>362</v>
      </c>
      <c r="C69" s="520">
        <f>ENERGIE!F72/Nb_T3/amortissement/12</f>
        <v>141.91373914304492</v>
      </c>
      <c r="D69" s="521">
        <f>ENERGIE!N72/Nb_T3/amortissement/12</f>
        <v>47.709290263750155</v>
      </c>
      <c r="E69" s="521">
        <f>ENERGIE!V72/Nb_T3/amortissement/12</f>
        <v>32.556654094606735</v>
      </c>
    </row>
    <row r="70" spans="1:6" x14ac:dyDescent="0.2">
      <c r="A70" s="504"/>
      <c r="B70" s="522" t="s">
        <v>364</v>
      </c>
      <c r="C70" s="520">
        <f>ENERGIE!D63/(amortissement*12*NB_Logement)</f>
        <v>10.958242753623189</v>
      </c>
      <c r="D70" s="523">
        <f>ENERGIE!L63/(amortissement*12*NB_Logement)</f>
        <v>10.958242753623189</v>
      </c>
      <c r="E70" s="523">
        <f>ENERGIE!T63/(amortissement*12*NB_Logement)</f>
        <v>10.958242753623189</v>
      </c>
    </row>
    <row r="71" spans="1:6" x14ac:dyDescent="0.2">
      <c r="A71" s="504"/>
      <c r="B71" s="522" t="s">
        <v>337</v>
      </c>
      <c r="C71" s="770">
        <v>100</v>
      </c>
      <c r="D71" s="771">
        <f>C71</f>
        <v>100</v>
      </c>
      <c r="E71" s="771">
        <f>D71</f>
        <v>100</v>
      </c>
    </row>
    <row r="72" spans="1:6" ht="13.5" thickBot="1" x14ac:dyDescent="0.25">
      <c r="A72" s="504"/>
      <c r="B72" s="855" t="s">
        <v>775</v>
      </c>
      <c r="C72" s="406">
        <f>C81</f>
        <v>300</v>
      </c>
      <c r="D72" s="574">
        <f>C81</f>
        <v>300</v>
      </c>
      <c r="E72" s="574">
        <f>C81</f>
        <v>300</v>
      </c>
      <c r="F72" s="856" t="s">
        <v>776</v>
      </c>
    </row>
    <row r="73" spans="1:6" ht="13.5" thickTop="1" x14ac:dyDescent="0.2">
      <c r="A73" s="504"/>
      <c r="B73" s="514" t="s">
        <v>16</v>
      </c>
      <c r="C73" s="524">
        <f>SUM(C65:C66)-SUM(C68:C72)</f>
        <v>584.32801810333194</v>
      </c>
      <c r="D73" s="525">
        <f t="shared" ref="D73:E73" si="3">SUM(D65:D66)-SUM(D68:D72)</f>
        <v>678.5324669826266</v>
      </c>
      <c r="E73" s="525">
        <f t="shared" si="3"/>
        <v>693.68510315177002</v>
      </c>
    </row>
    <row r="74" spans="1:6" x14ac:dyDescent="0.2">
      <c r="A74" s="504"/>
      <c r="B74" s="118"/>
      <c r="C74" s="44"/>
      <c r="D74" s="44"/>
      <c r="E74" s="44"/>
    </row>
    <row r="75" spans="1:6" x14ac:dyDescent="0.2">
      <c r="A75" s="504"/>
      <c r="B75" s="760" t="s">
        <v>517</v>
      </c>
      <c r="C75" s="44"/>
      <c r="D75" s="44"/>
      <c r="E75" s="44"/>
    </row>
    <row r="76" spans="1:6" x14ac:dyDescent="0.2">
      <c r="A76" s="504"/>
      <c r="B76" s="761" t="s">
        <v>365</v>
      </c>
      <c r="C76" s="762"/>
      <c r="D76" s="44"/>
      <c r="E76" s="44"/>
    </row>
    <row r="77" spans="1:6" x14ac:dyDescent="0.2">
      <c r="A77" s="504"/>
      <c r="B77" s="761" t="s">
        <v>367</v>
      </c>
      <c r="C77" s="772">
        <v>50</v>
      </c>
      <c r="D77" s="44"/>
      <c r="E77" s="44"/>
    </row>
    <row r="78" spans="1:6" x14ac:dyDescent="0.2">
      <c r="A78" s="504"/>
      <c r="B78" s="761" t="s">
        <v>368</v>
      </c>
      <c r="C78" s="772">
        <v>150</v>
      </c>
      <c r="D78" s="44"/>
      <c r="E78" s="44"/>
    </row>
    <row r="79" spans="1:6" x14ac:dyDescent="0.2">
      <c r="A79" s="504"/>
      <c r="B79" s="761" t="s">
        <v>369</v>
      </c>
      <c r="C79" s="772">
        <v>80</v>
      </c>
      <c r="D79" s="44"/>
      <c r="E79" s="44"/>
    </row>
    <row r="80" spans="1:6" ht="13.5" thickBot="1" x14ac:dyDescent="0.25">
      <c r="A80" s="504"/>
      <c r="B80" s="763" t="s">
        <v>370</v>
      </c>
      <c r="C80" s="773">
        <v>20</v>
      </c>
      <c r="D80" s="44"/>
      <c r="E80" s="44"/>
    </row>
    <row r="81" spans="1:5" ht="13.5" thickTop="1" x14ac:dyDescent="0.2">
      <c r="A81" s="504"/>
      <c r="B81" s="764" t="s">
        <v>361</v>
      </c>
      <c r="C81" s="765">
        <f>SUM(C77:C80)</f>
        <v>300</v>
      </c>
      <c r="D81" s="44"/>
      <c r="E81" s="44"/>
    </row>
    <row r="82" spans="1:5" x14ac:dyDescent="0.2">
      <c r="A82" s="504"/>
      <c r="B82" s="493"/>
      <c r="C82" s="504"/>
      <c r="D82" s="44"/>
      <c r="E82" s="44"/>
    </row>
    <row r="83" spans="1:5" x14ac:dyDescent="0.2">
      <c r="B83" s="33"/>
      <c r="E83" s="44"/>
    </row>
    <row r="84" spans="1:5" x14ac:dyDescent="0.2">
      <c r="B84" s="33"/>
    </row>
  </sheetData>
  <sheetProtection password="C434" sheet="1" objects="1" scenarios="1"/>
  <conditionalFormatting sqref="D19:E24 D30:E31 D5:E11 D26:E26 D53:E60">
    <cfRule type="cellIs" dxfId="15" priority="29" operator="lessThan">
      <formula>$C5</formula>
    </cfRule>
    <cfRule type="cellIs" dxfId="14" priority="30" operator="greaterThan">
      <formula>$C5</formula>
    </cfRule>
  </conditionalFormatting>
  <conditionalFormatting sqref="D27:E27">
    <cfRule type="cellIs" dxfId="13" priority="8" operator="lessThan">
      <formula>$C27</formula>
    </cfRule>
    <cfRule type="cellIs" dxfId="12" priority="16" operator="greaterThan">
      <formula>$C27</formula>
    </cfRule>
  </conditionalFormatting>
  <conditionalFormatting sqref="D14:E14">
    <cfRule type="cellIs" dxfId="11" priority="11" operator="lessThan">
      <formula>0</formula>
    </cfRule>
    <cfRule type="cellIs" dxfId="10" priority="12" operator="greaterThan">
      <formula>0</formula>
    </cfRule>
  </conditionalFormatting>
  <conditionalFormatting sqref="D13:E13">
    <cfRule type="cellIs" dxfId="9" priority="41" operator="lessThan">
      <formula>$C$13</formula>
    </cfRule>
    <cfRule type="cellIs" dxfId="8" priority="42" operator="greaterThan">
      <formula>$C13</formula>
    </cfRule>
  </conditionalFormatting>
  <conditionalFormatting sqref="D32:E33">
    <cfRule type="cellIs" dxfId="7" priority="43" operator="lessThan">
      <formula>#REF!</formula>
    </cfRule>
    <cfRule type="cellIs" dxfId="6" priority="44" operator="greaterThan">
      <formula>$C32</formula>
    </cfRule>
  </conditionalFormatting>
  <conditionalFormatting sqref="D12:E12">
    <cfRule type="cellIs" dxfId="5" priority="5" operator="lessThan">
      <formula>$C12</formula>
    </cfRule>
    <cfRule type="cellIs" dxfId="4" priority="6" operator="greaterThan">
      <formula>$C12</formula>
    </cfRule>
  </conditionalFormatting>
  <conditionalFormatting sqref="D25:E25">
    <cfRule type="cellIs" dxfId="3" priority="3" operator="lessThan">
      <formula>$C25</formula>
    </cfRule>
    <cfRule type="cellIs" dxfId="2" priority="4" operator="greaterThan">
      <formula>$C25</formula>
    </cfRule>
  </conditionalFormatting>
  <pageMargins left="0.23622047244094491" right="0.23622047244094491" top="0.74803149606299213" bottom="0.74803149606299213" header="0.31496062992125984" footer="0.31496062992125984"/>
  <pageSetup paperSize="8" scale="92" fitToHeight="0" orientation="portrait" r:id="rId1"/>
  <headerFooter>
    <oddHeader>&amp;R&amp;D</oddHeader>
    <oddFooter>&amp;L&amp;F / &amp;A&amp;R&amp;P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12</vt:i4>
      </vt:variant>
      <vt:variant>
        <vt:lpstr>Graphiques</vt:lpstr>
      </vt:variant>
      <vt:variant>
        <vt:i4>3</vt:i4>
      </vt:variant>
      <vt:variant>
        <vt:lpstr>Plages nommées</vt:lpstr>
      </vt:variant>
      <vt:variant>
        <vt:i4>81</vt:i4>
      </vt:variant>
    </vt:vector>
  </HeadingPairs>
  <TitlesOfParts>
    <vt:vector size="96" baseType="lpstr">
      <vt:lpstr>Présentation</vt:lpstr>
      <vt:lpstr>IDENTITE</vt:lpstr>
      <vt:lpstr>METHODOLOGIE</vt:lpstr>
      <vt:lpstr>BD_METHODOLOGIE</vt:lpstr>
      <vt:lpstr>BATI-EQUIPEMENTS</vt:lpstr>
      <vt:lpstr>BD_BATI-EQUIPEMENTS</vt:lpstr>
      <vt:lpstr>ATTRACTIVITE</vt:lpstr>
      <vt:lpstr>ENERGIE</vt:lpstr>
      <vt:lpstr>RESULTATS</vt:lpstr>
      <vt:lpstr>HYPOTHESES</vt:lpstr>
      <vt:lpstr>ACTUALISATION</vt:lpstr>
      <vt:lpstr>EMPRUNT</vt:lpstr>
      <vt:lpstr>GRAPHIQUES-A3</vt:lpstr>
      <vt:lpstr>GRAPH-1-A4</vt:lpstr>
      <vt:lpstr>GRAPH-2-A4</vt:lpstr>
      <vt:lpstr>actu_loyer</vt:lpstr>
      <vt:lpstr>amortissement</vt:lpstr>
      <vt:lpstr>COUT_EMPRUNT</vt:lpstr>
      <vt:lpstr>date_projet</vt:lpstr>
      <vt:lpstr>DUREE_EMPRUNT</vt:lpstr>
      <vt:lpstr>Hypothese_Energie</vt:lpstr>
      <vt:lpstr>Icc</vt:lpstr>
      <vt:lpstr>'BATI-EQUIPEMENTS'!Impression_des_titres</vt:lpstr>
      <vt:lpstr>'BD_BATI-EQUIPEMENTS'!Impression_des_titres</vt:lpstr>
      <vt:lpstr>BD_METHODOLOGIE!Impression_des_titres</vt:lpstr>
      <vt:lpstr>ENERGIE!Impression_des_titres</vt:lpstr>
      <vt:lpstr>Inflation</vt:lpstr>
      <vt:lpstr>Investissement</vt:lpstr>
      <vt:lpstr>Lst_AMO</vt:lpstr>
      <vt:lpstr>Lst_Chauffage</vt:lpstr>
      <vt:lpstr>Lst_CompMOE</vt:lpstr>
      <vt:lpstr>Lst_Dechets</vt:lpstr>
      <vt:lpstr>Lst_DossCons</vt:lpstr>
      <vt:lpstr>Lst_ECS</vt:lpstr>
      <vt:lpstr>Lst_Emission</vt:lpstr>
      <vt:lpstr>Lst_Encadrement</vt:lpstr>
      <vt:lpstr>lst_énergie</vt:lpstr>
      <vt:lpstr>Lst_Entrep</vt:lpstr>
      <vt:lpstr>Lst_Etancheite</vt:lpstr>
      <vt:lpstr>Lst_EtudeCompl</vt:lpstr>
      <vt:lpstr>Lst_LabelEnv</vt:lpstr>
      <vt:lpstr>Lst_Menuiserie</vt:lpstr>
      <vt:lpstr>Lst_MissAMO</vt:lpstr>
      <vt:lpstr>Lst_MobServ</vt:lpstr>
      <vt:lpstr>Lst_MurExt</vt:lpstr>
      <vt:lpstr>Lst_Occultation</vt:lpstr>
      <vt:lpstr>Lst_Origine</vt:lpstr>
      <vt:lpstr>Lst_Ouvrant</vt:lpstr>
      <vt:lpstr>Lst_PtsCri</vt:lpstr>
      <vt:lpstr>Lst_Realisation</vt:lpstr>
      <vt:lpstr>Lst_Regulation</vt:lpstr>
      <vt:lpstr>Lst_RevSol</vt:lpstr>
      <vt:lpstr>Lst_SuiviConso</vt:lpstr>
      <vt:lpstr>Lst_Systech</vt:lpstr>
      <vt:lpstr>Lst_TechPbas</vt:lpstr>
      <vt:lpstr>Lst_Thermo</vt:lpstr>
      <vt:lpstr>Lst_Toit_Etancheite</vt:lpstr>
      <vt:lpstr>Lst_Toiture</vt:lpstr>
      <vt:lpstr>Lst_TypeRegulation</vt:lpstr>
      <vt:lpstr>Lst_TypeVT</vt:lpstr>
      <vt:lpstr>Lst_Ventilation</vt:lpstr>
      <vt:lpstr>MONTANT_EMPRUNT</vt:lpstr>
      <vt:lpstr>Nb_Global</vt:lpstr>
      <vt:lpstr>NB_Logement</vt:lpstr>
      <vt:lpstr>Nb_T1</vt:lpstr>
      <vt:lpstr>Nb_T2</vt:lpstr>
      <vt:lpstr>Nb_T3</vt:lpstr>
      <vt:lpstr>Nb_T4</vt:lpstr>
      <vt:lpstr>Nb_T5</vt:lpstr>
      <vt:lpstr>nom_projet</vt:lpstr>
      <vt:lpstr>nom_utilisateur</vt:lpstr>
      <vt:lpstr>phase_projet</vt:lpstr>
      <vt:lpstr>Prix_abonnement_collectif</vt:lpstr>
      <vt:lpstr>Prix_abonnement_individuel</vt:lpstr>
      <vt:lpstr>ref_energie</vt:lpstr>
      <vt:lpstr>réf_énergie</vt:lpstr>
      <vt:lpstr>SHAB</vt:lpstr>
      <vt:lpstr>Surf_Global</vt:lpstr>
      <vt:lpstr>Surf_Men</vt:lpstr>
      <vt:lpstr>Surf_Mur</vt:lpstr>
      <vt:lpstr>Surf_Pbas</vt:lpstr>
      <vt:lpstr>Surf_Phaut</vt:lpstr>
      <vt:lpstr>Surf_T1</vt:lpstr>
      <vt:lpstr>Surf_T2</vt:lpstr>
      <vt:lpstr>Surf_T3</vt:lpstr>
      <vt:lpstr>Surf_T4</vt:lpstr>
      <vt:lpstr>Surf_T5</vt:lpstr>
      <vt:lpstr>Surf_totale_T1</vt:lpstr>
      <vt:lpstr>Surf_totale_T2</vt:lpstr>
      <vt:lpstr>Surf_totale_T3</vt:lpstr>
      <vt:lpstr>Surf_totale_T4</vt:lpstr>
      <vt:lpstr>Surf_totale_T5</vt:lpstr>
      <vt:lpstr>tx_emprunt</vt:lpstr>
      <vt:lpstr>'BATI-EQUIPEMENTS'!Zone_d_impression</vt:lpstr>
      <vt:lpstr>EMPRUNT!Zone_d_impression</vt:lpstr>
      <vt:lpstr>Présentation!Zone_d_impression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NICOL</dc:creator>
  <cp:lastModifiedBy>Sylvain NICOL</cp:lastModifiedBy>
  <cp:lastPrinted>2016-02-05T15:03:06Z</cp:lastPrinted>
  <dcterms:created xsi:type="dcterms:W3CDTF">2015-11-09T07:55:53Z</dcterms:created>
  <dcterms:modified xsi:type="dcterms:W3CDTF">2016-02-05T15:06:42Z</dcterms:modified>
</cp:coreProperties>
</file>